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85" activeTab="0"/>
  </bookViews>
  <sheets>
    <sheet name="汇总表" sheetId="1" r:id="rId1"/>
    <sheet name="中熟中粳" sheetId="2" r:id="rId2"/>
    <sheet name="迟熟中粳" sheetId="3" r:id="rId3"/>
    <sheet name="淮南迟播" sheetId="4" r:id="rId4"/>
    <sheet name="早熟晚粳" sheetId="5" r:id="rId5"/>
    <sheet name="晚粳迟播" sheetId="6" r:id="rId6"/>
    <sheet name="杂交晚粳" sheetId="7" r:id="rId7"/>
  </sheets>
  <definedNames/>
  <calcPr fullCalcOnLoad="1"/>
</workbook>
</file>

<file path=xl/sharedStrings.xml><?xml version="1.0" encoding="utf-8"?>
<sst xmlns="http://schemas.openxmlformats.org/spreadsheetml/2006/main" count="902" uniqueCount="341">
  <si>
    <t>参试年份</t>
  </si>
  <si>
    <t>品种名称</t>
  </si>
  <si>
    <t>品种</t>
  </si>
  <si>
    <t>试点</t>
  </si>
  <si>
    <t>株高</t>
  </si>
  <si>
    <t>全生育期</t>
  </si>
  <si>
    <t>基本苗</t>
  </si>
  <si>
    <t>高峰苗</t>
  </si>
  <si>
    <t>分蘖率</t>
  </si>
  <si>
    <t>有效穗</t>
  </si>
  <si>
    <t>成穗率</t>
  </si>
  <si>
    <t>每穗</t>
  </si>
  <si>
    <t>结实率</t>
  </si>
  <si>
    <t>千粒重</t>
  </si>
  <si>
    <r>
      <rPr>
        <sz val="10"/>
        <rFont val="宋体"/>
        <family val="0"/>
      </rPr>
      <t>小区产量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公斤</t>
    </r>
    <r>
      <rPr>
        <sz val="10"/>
        <rFont val="Times New Roman"/>
        <family val="1"/>
      </rPr>
      <t>)</t>
    </r>
  </si>
  <si>
    <t>亩产</t>
  </si>
  <si>
    <r>
      <rPr>
        <sz val="10"/>
        <rFont val="宋体"/>
        <family val="0"/>
      </rPr>
      <t>较</t>
    </r>
    <r>
      <rPr>
        <sz val="10"/>
        <rFont val="Times New Roman"/>
        <family val="1"/>
      </rPr>
      <t>ck</t>
    </r>
  </si>
  <si>
    <t>产量</t>
  </si>
  <si>
    <t>初审意见</t>
  </si>
  <si>
    <t>编号</t>
  </si>
  <si>
    <t>(CM)</t>
  </si>
  <si>
    <r>
      <rPr>
        <sz val="10"/>
        <rFont val="Times New Roman"/>
        <family val="1"/>
      </rPr>
      <t>(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</si>
  <si>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</si>
  <si>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t>(%)</t>
  </si>
  <si>
    <t>总粒数</t>
  </si>
  <si>
    <t>实粒数</t>
  </si>
  <si>
    <r>
      <rPr>
        <sz val="10"/>
        <rFont val="Times New Roman"/>
        <family val="1"/>
      </rPr>
      <t>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)</t>
    </r>
  </si>
  <si>
    <t>Ⅰ</t>
  </si>
  <si>
    <t>Ⅱ</t>
  </si>
  <si>
    <t>Ⅲ</t>
  </si>
  <si>
    <t>平均</t>
  </si>
  <si>
    <t>(kg)</t>
  </si>
  <si>
    <r>
      <rPr>
        <sz val="10"/>
        <rFont val="宋体"/>
        <family val="0"/>
      </rPr>
      <t>增减产</t>
    </r>
    <r>
      <rPr>
        <sz val="10"/>
        <rFont val="Times New Roman"/>
        <family val="1"/>
      </rPr>
      <t>%</t>
    </r>
  </si>
  <si>
    <t>位次</t>
  </si>
  <si>
    <t>2013年</t>
  </si>
  <si>
    <t>迁稻11-72</t>
  </si>
  <si>
    <t>中熟中粳04</t>
  </si>
  <si>
    <t>盐都</t>
  </si>
  <si>
    <t>通过初审，适宜在江苏省淮北地区种植</t>
  </si>
  <si>
    <t>白马湖</t>
  </si>
  <si>
    <t>邳州</t>
  </si>
  <si>
    <t>湖西</t>
  </si>
  <si>
    <t>平明</t>
  </si>
  <si>
    <t>徐州</t>
  </si>
  <si>
    <t>宿迁</t>
  </si>
  <si>
    <t>青伊湖</t>
  </si>
  <si>
    <t>赣榆</t>
  </si>
  <si>
    <t>2014年</t>
  </si>
  <si>
    <r>
      <rPr>
        <sz val="10"/>
        <rFont val="宋体"/>
        <family val="0"/>
      </rPr>
      <t>中粳</t>
    </r>
    <r>
      <rPr>
        <sz val="10"/>
        <rFont val="Times New Roman"/>
        <family val="1"/>
      </rPr>
      <t>5</t>
    </r>
  </si>
  <si>
    <t>泗阳</t>
  </si>
  <si>
    <t>中江</t>
  </si>
  <si>
    <t>2015年</t>
  </si>
  <si>
    <r>
      <rPr>
        <sz val="11"/>
        <color indexed="8"/>
        <rFont val="宋体"/>
        <family val="0"/>
      </rPr>
      <t>中粳生</t>
    </r>
    <r>
      <rPr>
        <sz val="11"/>
        <color indexed="8"/>
        <rFont val="Times New Roman"/>
        <family val="1"/>
      </rPr>
      <t>01</t>
    </r>
  </si>
  <si>
    <t>沭阳</t>
  </si>
  <si>
    <r>
      <rPr>
        <sz val="11"/>
        <color indexed="8"/>
        <rFont val="宋体"/>
        <family val="0"/>
      </rPr>
      <t>白马湖</t>
    </r>
  </si>
  <si>
    <r>
      <rPr>
        <sz val="11"/>
        <color indexed="8"/>
        <rFont val="宋体"/>
        <family val="0"/>
      </rPr>
      <t>平明</t>
    </r>
  </si>
  <si>
    <r>
      <rPr>
        <sz val="11"/>
        <color indexed="8"/>
        <rFont val="宋体"/>
        <family val="0"/>
      </rPr>
      <t>徐州</t>
    </r>
  </si>
  <si>
    <r>
      <rPr>
        <sz val="11"/>
        <color indexed="8"/>
        <rFont val="宋体"/>
        <family val="0"/>
      </rPr>
      <t>赣榆</t>
    </r>
  </si>
  <si>
    <r>
      <rPr>
        <sz val="11"/>
        <color indexed="8"/>
        <rFont val="宋体"/>
        <family val="0"/>
      </rPr>
      <t>淮安</t>
    </r>
  </si>
  <si>
    <r>
      <rPr>
        <sz val="11"/>
        <color indexed="8"/>
        <rFont val="宋体"/>
        <family val="0"/>
      </rPr>
      <t>邳州</t>
    </r>
  </si>
  <si>
    <r>
      <rPr>
        <sz val="11"/>
        <color indexed="8"/>
        <rFont val="宋体"/>
        <family val="0"/>
      </rPr>
      <t>盐都</t>
    </r>
  </si>
  <si>
    <r>
      <rPr>
        <sz val="11"/>
        <color indexed="8"/>
        <rFont val="宋体"/>
        <family val="0"/>
      </rPr>
      <t>泗阳</t>
    </r>
  </si>
  <si>
    <r>
      <rPr>
        <sz val="11"/>
        <color indexed="8"/>
        <rFont val="宋体"/>
        <family val="0"/>
      </rPr>
      <t>保丰</t>
    </r>
  </si>
  <si>
    <t>H01226</t>
  </si>
  <si>
    <t>中熟中粳08</t>
  </si>
  <si>
    <r>
      <rPr>
        <sz val="10"/>
        <rFont val="宋体"/>
        <family val="0"/>
      </rPr>
      <t>中粳</t>
    </r>
    <r>
      <rPr>
        <sz val="10"/>
        <rFont val="Times New Roman"/>
        <family val="1"/>
      </rPr>
      <t>3</t>
    </r>
  </si>
  <si>
    <r>
      <rPr>
        <sz val="11"/>
        <color indexed="8"/>
        <rFont val="宋体"/>
        <family val="0"/>
      </rPr>
      <t>中粳生</t>
    </r>
    <r>
      <rPr>
        <sz val="11"/>
        <color indexed="8"/>
        <rFont val="Times New Roman"/>
        <family val="1"/>
      </rPr>
      <t>02</t>
    </r>
  </si>
  <si>
    <r>
      <rPr>
        <sz val="11"/>
        <color indexed="8"/>
        <rFont val="宋体"/>
        <family val="0"/>
      </rPr>
      <t>沭阳</t>
    </r>
  </si>
  <si>
    <t>盐粳11040</t>
  </si>
  <si>
    <t>中熟中粳11</t>
  </si>
  <si>
    <r>
      <rPr>
        <sz val="10"/>
        <rFont val="宋体"/>
        <family val="0"/>
      </rPr>
      <t>中粳</t>
    </r>
    <r>
      <rPr>
        <sz val="10"/>
        <rFont val="Times New Roman"/>
        <family val="1"/>
      </rPr>
      <t>10</t>
    </r>
  </si>
  <si>
    <r>
      <rPr>
        <sz val="11"/>
        <color indexed="8"/>
        <rFont val="宋体"/>
        <family val="0"/>
      </rPr>
      <t>中粳生</t>
    </r>
    <r>
      <rPr>
        <sz val="11"/>
        <color indexed="8"/>
        <rFont val="Times New Roman"/>
        <family val="1"/>
      </rPr>
      <t>03</t>
    </r>
  </si>
  <si>
    <r>
      <rPr>
        <sz val="10"/>
        <rFont val="宋体"/>
        <family val="0"/>
      </rPr>
      <t>品种</t>
    </r>
  </si>
  <si>
    <r>
      <rPr>
        <sz val="10"/>
        <rFont val="宋体"/>
        <family val="0"/>
      </rPr>
      <t>试点</t>
    </r>
  </si>
  <si>
    <r>
      <rPr>
        <sz val="10"/>
        <rFont val="宋体"/>
        <family val="0"/>
      </rPr>
      <t>株高</t>
    </r>
  </si>
  <si>
    <r>
      <rPr>
        <sz val="10"/>
        <rFont val="宋体"/>
        <family val="0"/>
      </rPr>
      <t>全生育期</t>
    </r>
  </si>
  <si>
    <r>
      <rPr>
        <sz val="10"/>
        <rFont val="宋体"/>
        <family val="0"/>
      </rPr>
      <t>基本苗</t>
    </r>
  </si>
  <si>
    <r>
      <rPr>
        <sz val="10"/>
        <rFont val="宋体"/>
        <family val="0"/>
      </rPr>
      <t>高峰苗</t>
    </r>
  </si>
  <si>
    <r>
      <rPr>
        <sz val="10"/>
        <rFont val="宋体"/>
        <family val="0"/>
      </rPr>
      <t>分蘖率</t>
    </r>
  </si>
  <si>
    <r>
      <rPr>
        <sz val="10"/>
        <rFont val="宋体"/>
        <family val="0"/>
      </rPr>
      <t>有效穗</t>
    </r>
  </si>
  <si>
    <r>
      <rPr>
        <sz val="10"/>
        <rFont val="宋体"/>
        <family val="0"/>
      </rPr>
      <t>成穗率</t>
    </r>
  </si>
  <si>
    <r>
      <rPr>
        <sz val="10"/>
        <rFont val="宋体"/>
        <family val="0"/>
      </rPr>
      <t>每穗</t>
    </r>
  </si>
  <si>
    <r>
      <rPr>
        <sz val="10"/>
        <rFont val="宋体"/>
        <family val="0"/>
      </rPr>
      <t>结实率</t>
    </r>
  </si>
  <si>
    <r>
      <rPr>
        <sz val="10"/>
        <rFont val="宋体"/>
        <family val="0"/>
      </rPr>
      <t>千粒重</t>
    </r>
  </si>
  <si>
    <r>
      <rPr>
        <sz val="10"/>
        <rFont val="宋体"/>
        <family val="0"/>
      </rPr>
      <t>亩产</t>
    </r>
  </si>
  <si>
    <r>
      <rPr>
        <sz val="10"/>
        <rFont val="宋体"/>
        <family val="0"/>
      </rPr>
      <t>较</t>
    </r>
    <r>
      <rPr>
        <sz val="10"/>
        <rFont val="Times New Roman"/>
        <family val="1"/>
      </rPr>
      <t>ck1</t>
    </r>
  </si>
  <si>
    <r>
      <rPr>
        <sz val="10"/>
        <rFont val="宋体"/>
        <family val="0"/>
      </rPr>
      <t>较</t>
    </r>
    <r>
      <rPr>
        <sz val="10"/>
        <rFont val="Times New Roman"/>
        <family val="1"/>
      </rPr>
      <t>ck2</t>
    </r>
  </si>
  <si>
    <r>
      <rPr>
        <sz val="10"/>
        <rFont val="宋体"/>
        <family val="0"/>
      </rPr>
      <t>产量</t>
    </r>
  </si>
  <si>
    <r>
      <rPr>
        <sz val="10"/>
        <rFont val="宋体"/>
        <family val="0"/>
      </rPr>
      <t>编号</t>
    </r>
  </si>
  <si>
    <r>
      <rPr>
        <sz val="10"/>
        <rFont val="宋体"/>
        <family val="0"/>
      </rPr>
      <t>总粒数</t>
    </r>
  </si>
  <si>
    <r>
      <rPr>
        <sz val="10"/>
        <rFont val="宋体"/>
        <family val="0"/>
      </rPr>
      <t>实粒数</t>
    </r>
  </si>
  <si>
    <r>
      <rPr>
        <sz val="10"/>
        <rFont val="宋体"/>
        <family val="0"/>
      </rPr>
      <t>Ⅰ</t>
    </r>
  </si>
  <si>
    <r>
      <rPr>
        <sz val="10"/>
        <rFont val="宋体"/>
        <family val="0"/>
      </rPr>
      <t>Ⅱ</t>
    </r>
  </si>
  <si>
    <r>
      <rPr>
        <sz val="10"/>
        <rFont val="宋体"/>
        <family val="0"/>
      </rPr>
      <t>Ⅲ</t>
    </r>
  </si>
  <si>
    <r>
      <rPr>
        <sz val="10"/>
        <rFont val="宋体"/>
        <family val="0"/>
      </rPr>
      <t>平均</t>
    </r>
  </si>
  <si>
    <r>
      <rPr>
        <sz val="10"/>
        <rFont val="宋体"/>
        <family val="0"/>
      </rPr>
      <t>位次</t>
    </r>
  </si>
  <si>
    <t>W030</t>
  </si>
  <si>
    <r>
      <rPr>
        <sz val="10"/>
        <rFont val="宋体"/>
        <family val="0"/>
      </rPr>
      <t>迟粳</t>
    </r>
    <r>
      <rPr>
        <sz val="10"/>
        <rFont val="Times New Roman"/>
        <family val="1"/>
      </rPr>
      <t>02</t>
    </r>
  </si>
  <si>
    <r>
      <rPr>
        <sz val="10"/>
        <rFont val="宋体"/>
        <family val="0"/>
      </rPr>
      <t>南京</t>
    </r>
  </si>
  <si>
    <t>通过初审，江苏宁镇扬丘陵和苏中地区种植</t>
  </si>
  <si>
    <r>
      <rPr>
        <sz val="10"/>
        <rFont val="宋体"/>
        <family val="0"/>
      </rPr>
      <t>东台</t>
    </r>
  </si>
  <si>
    <r>
      <rPr>
        <sz val="10"/>
        <rFont val="宋体"/>
        <family val="0"/>
      </rPr>
      <t>泰州</t>
    </r>
  </si>
  <si>
    <r>
      <rPr>
        <sz val="10"/>
        <rFont val="宋体"/>
        <family val="0"/>
      </rPr>
      <t>兴化</t>
    </r>
  </si>
  <si>
    <r>
      <rPr>
        <sz val="10"/>
        <rFont val="宋体"/>
        <family val="0"/>
      </rPr>
      <t>汉留</t>
    </r>
  </si>
  <si>
    <r>
      <rPr>
        <sz val="10"/>
        <rFont val="宋体"/>
        <family val="0"/>
      </rPr>
      <t>白马湖</t>
    </r>
  </si>
  <si>
    <r>
      <rPr>
        <sz val="10"/>
        <rFont val="宋体"/>
        <family val="0"/>
      </rPr>
      <t>盐都</t>
    </r>
  </si>
  <si>
    <r>
      <rPr>
        <sz val="10"/>
        <rFont val="宋体"/>
        <family val="0"/>
      </rPr>
      <t>三河</t>
    </r>
  </si>
  <si>
    <r>
      <rPr>
        <sz val="10"/>
        <rFont val="宋体"/>
        <family val="0"/>
      </rPr>
      <t>阜宁</t>
    </r>
  </si>
  <si>
    <r>
      <rPr>
        <sz val="11"/>
        <rFont val="宋体"/>
        <family val="0"/>
      </rPr>
      <t>迟粳</t>
    </r>
    <r>
      <rPr>
        <sz val="11"/>
        <rFont val="Times New Roman"/>
        <family val="1"/>
      </rPr>
      <t>01</t>
    </r>
  </si>
  <si>
    <t>南京</t>
  </si>
  <si>
    <t>东台</t>
  </si>
  <si>
    <t>泰州</t>
  </si>
  <si>
    <t>兴化</t>
  </si>
  <si>
    <t>三河</t>
  </si>
  <si>
    <t>阜宁</t>
  </si>
  <si>
    <t>江都</t>
  </si>
  <si>
    <t>通州</t>
  </si>
  <si>
    <r>
      <rPr>
        <sz val="10"/>
        <color indexed="8"/>
        <rFont val="宋体"/>
        <family val="0"/>
      </rPr>
      <t>东台</t>
    </r>
  </si>
  <si>
    <r>
      <rPr>
        <sz val="10"/>
        <color indexed="8"/>
        <rFont val="宋体"/>
        <family val="0"/>
      </rPr>
      <t>阜宁</t>
    </r>
  </si>
  <si>
    <r>
      <rPr>
        <sz val="10"/>
        <color indexed="8"/>
        <rFont val="宋体"/>
        <family val="0"/>
      </rPr>
      <t>高徐</t>
    </r>
  </si>
  <si>
    <r>
      <rPr>
        <sz val="10"/>
        <color indexed="8"/>
        <rFont val="宋体"/>
        <family val="0"/>
      </rPr>
      <t>汉留</t>
    </r>
  </si>
  <si>
    <r>
      <rPr>
        <sz val="10"/>
        <color indexed="8"/>
        <rFont val="宋体"/>
        <family val="0"/>
      </rPr>
      <t>红旗</t>
    </r>
  </si>
  <si>
    <r>
      <rPr>
        <sz val="10"/>
        <color indexed="8"/>
        <rFont val="宋体"/>
        <family val="0"/>
      </rPr>
      <t>金色</t>
    </r>
  </si>
  <si>
    <r>
      <rPr>
        <sz val="10"/>
        <color indexed="8"/>
        <rFont val="宋体"/>
        <family val="0"/>
      </rPr>
      <t>神农</t>
    </r>
  </si>
  <si>
    <r>
      <rPr>
        <sz val="10"/>
        <color indexed="8"/>
        <rFont val="宋体"/>
        <family val="0"/>
      </rPr>
      <t>通州</t>
    </r>
  </si>
  <si>
    <r>
      <rPr>
        <b/>
        <sz val="10"/>
        <color indexed="8"/>
        <rFont val="宋体"/>
        <family val="0"/>
      </rPr>
      <t>平均</t>
    </r>
  </si>
  <si>
    <t>苏垦118</t>
  </si>
  <si>
    <r>
      <rPr>
        <sz val="10"/>
        <rFont val="宋体"/>
        <family val="0"/>
      </rPr>
      <t>迟粳</t>
    </r>
    <r>
      <rPr>
        <sz val="10"/>
        <rFont val="Times New Roman"/>
        <family val="1"/>
      </rPr>
      <t>07</t>
    </r>
  </si>
  <si>
    <r>
      <rPr>
        <sz val="11"/>
        <rFont val="宋体"/>
        <family val="0"/>
      </rPr>
      <t>迟粳</t>
    </r>
    <r>
      <rPr>
        <sz val="11"/>
        <rFont val="Times New Roman"/>
        <family val="1"/>
      </rPr>
      <t>05</t>
    </r>
  </si>
  <si>
    <r>
      <rPr>
        <sz val="10"/>
        <color indexed="8"/>
        <rFont val="宋体"/>
        <family val="0"/>
      </rPr>
      <t>苏垦</t>
    </r>
    <r>
      <rPr>
        <sz val="10"/>
        <color indexed="8"/>
        <rFont val="Times New Roman"/>
        <family val="1"/>
      </rPr>
      <t>118</t>
    </r>
  </si>
  <si>
    <t>品种编号</t>
  </si>
  <si>
    <r>
      <rPr>
        <sz val="11"/>
        <rFont val="宋体"/>
        <family val="0"/>
      </rPr>
      <t>株高</t>
    </r>
    <r>
      <rPr>
        <sz val="11"/>
        <rFont val="Times New Roman"/>
        <family val="1"/>
      </rPr>
      <t>cm</t>
    </r>
  </si>
  <si>
    <r>
      <rPr>
        <sz val="11"/>
        <rFont val="宋体"/>
        <family val="0"/>
      </rPr>
      <t>全生育期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</si>
  <si>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基本苗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</si>
  <si>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高峰苗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</si>
  <si>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分蘖率</t>
    </r>
    <r>
      <rPr>
        <sz val="11"/>
        <rFont val="Times New Roman"/>
        <family val="1"/>
      </rPr>
      <t>(%)</t>
    </r>
  </si>
  <si>
    <r>
      <rPr>
        <sz val="11"/>
        <rFont val="宋体"/>
        <family val="0"/>
      </rPr>
      <t>有效穗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</si>
  <si>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成穗率</t>
    </r>
    <r>
      <rPr>
        <sz val="11"/>
        <rFont val="Times New Roman"/>
        <family val="1"/>
      </rPr>
      <t>(%)</t>
    </r>
  </si>
  <si>
    <t>每穗总粒数</t>
  </si>
  <si>
    <t>每穗实粒数</t>
  </si>
  <si>
    <r>
      <rPr>
        <sz val="11"/>
        <rFont val="宋体"/>
        <family val="0"/>
      </rPr>
      <t>结实率</t>
    </r>
    <r>
      <rPr>
        <sz val="11"/>
        <rFont val="Times New Roman"/>
        <family val="1"/>
      </rPr>
      <t>(%)</t>
    </r>
  </si>
  <si>
    <r>
      <rPr>
        <sz val="11"/>
        <rFont val="宋体"/>
        <family val="0"/>
      </rPr>
      <t>千粒重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</si>
  <si>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小区产量</t>
    </r>
    <r>
      <rPr>
        <sz val="11"/>
        <rFont val="Times New Roman"/>
        <family val="1"/>
      </rPr>
      <t>(kg)</t>
    </r>
  </si>
  <si>
    <r>
      <rPr>
        <sz val="11"/>
        <rFont val="宋体"/>
        <family val="0"/>
      </rPr>
      <t>折合亩产</t>
    </r>
    <r>
      <rPr>
        <sz val="11"/>
        <rFont val="Times New Roman"/>
        <family val="1"/>
      </rPr>
      <t>(kg)</t>
    </r>
  </si>
  <si>
    <r>
      <rPr>
        <sz val="11"/>
        <rFont val="宋体"/>
        <family val="0"/>
      </rPr>
      <t>较</t>
    </r>
    <r>
      <rPr>
        <sz val="11"/>
        <rFont val="Times New Roman"/>
        <family val="1"/>
      </rPr>
      <t>ck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+-%</t>
    </r>
    <r>
      <rPr>
        <sz val="11"/>
        <rFont val="宋体"/>
        <family val="0"/>
      </rPr>
      <t>）</t>
    </r>
  </si>
  <si>
    <t>产量位次</t>
  </si>
  <si>
    <t>泰粳1152</t>
  </si>
  <si>
    <r>
      <rPr>
        <sz val="11"/>
        <rFont val="宋体"/>
        <family val="0"/>
      </rPr>
      <t>淮迟</t>
    </r>
    <r>
      <rPr>
        <sz val="11"/>
        <rFont val="Times New Roman"/>
        <family val="1"/>
      </rPr>
      <t>06</t>
    </r>
  </si>
  <si>
    <t>通过初审，适宜江苏苏中地区种植</t>
  </si>
  <si>
    <t>高徐</t>
  </si>
  <si>
    <t>高邮</t>
  </si>
  <si>
    <t>淮安</t>
  </si>
  <si>
    <t>沿江</t>
  </si>
  <si>
    <r>
      <rPr>
        <sz val="10"/>
        <rFont val="宋体"/>
        <family val="0"/>
      </rPr>
      <t>淮迟区</t>
    </r>
    <r>
      <rPr>
        <sz val="10"/>
        <rFont val="Times New Roman"/>
        <family val="1"/>
      </rPr>
      <t>06</t>
    </r>
  </si>
  <si>
    <r>
      <rPr>
        <sz val="10"/>
        <rFont val="宋体"/>
        <family val="0"/>
      </rPr>
      <t>高邮</t>
    </r>
  </si>
  <si>
    <r>
      <rPr>
        <sz val="10"/>
        <rFont val="宋体"/>
        <family val="0"/>
      </rPr>
      <t>红旗</t>
    </r>
  </si>
  <si>
    <r>
      <rPr>
        <sz val="10"/>
        <rFont val="宋体"/>
        <family val="0"/>
      </rPr>
      <t>淮安</t>
    </r>
  </si>
  <si>
    <r>
      <rPr>
        <sz val="10"/>
        <rFont val="宋体"/>
        <family val="0"/>
      </rPr>
      <t>通州</t>
    </r>
  </si>
  <si>
    <r>
      <rPr>
        <sz val="10"/>
        <rFont val="宋体"/>
        <family val="0"/>
      </rPr>
      <t>盱眙</t>
    </r>
  </si>
  <si>
    <r>
      <rPr>
        <sz val="10"/>
        <rFont val="宋体"/>
        <family val="0"/>
      </rPr>
      <t>沿江</t>
    </r>
  </si>
  <si>
    <r>
      <rPr>
        <sz val="10"/>
        <rFont val="宋体"/>
        <family val="0"/>
      </rPr>
      <t>扬州</t>
    </r>
  </si>
  <si>
    <r>
      <rPr>
        <sz val="10"/>
        <color indexed="8"/>
        <rFont val="宋体"/>
        <family val="0"/>
      </rPr>
      <t>泰粳</t>
    </r>
    <r>
      <rPr>
        <sz val="10"/>
        <color indexed="8"/>
        <rFont val="Times New Roman"/>
        <family val="1"/>
      </rPr>
      <t>1152</t>
    </r>
  </si>
  <si>
    <r>
      <rPr>
        <sz val="10"/>
        <color indexed="8"/>
        <rFont val="宋体"/>
        <family val="0"/>
      </rPr>
      <t>大丰金色</t>
    </r>
  </si>
  <si>
    <r>
      <rPr>
        <sz val="10"/>
        <color indexed="8"/>
        <rFont val="宋体"/>
        <family val="0"/>
      </rPr>
      <t>神农大丰</t>
    </r>
  </si>
  <si>
    <r>
      <rPr>
        <sz val="10"/>
        <color indexed="8"/>
        <rFont val="宋体"/>
        <family val="0"/>
      </rPr>
      <t>兴化</t>
    </r>
  </si>
  <si>
    <t>华0556</t>
  </si>
  <si>
    <r>
      <rPr>
        <sz val="11"/>
        <rFont val="宋体"/>
        <family val="0"/>
      </rPr>
      <t>淮迟</t>
    </r>
    <r>
      <rPr>
        <sz val="11"/>
        <rFont val="Times New Roman"/>
        <family val="1"/>
      </rPr>
      <t>05</t>
    </r>
  </si>
  <si>
    <r>
      <rPr>
        <sz val="10"/>
        <rFont val="宋体"/>
        <family val="0"/>
      </rPr>
      <t>淮迟区</t>
    </r>
    <r>
      <rPr>
        <sz val="10"/>
        <rFont val="Times New Roman"/>
        <family val="1"/>
      </rPr>
      <t>02</t>
    </r>
  </si>
  <si>
    <r>
      <rPr>
        <sz val="10"/>
        <color indexed="8"/>
        <rFont val="宋体"/>
        <family val="0"/>
      </rPr>
      <t>华</t>
    </r>
    <r>
      <rPr>
        <sz val="10"/>
        <color indexed="8"/>
        <rFont val="Times New Roman"/>
        <family val="1"/>
      </rPr>
      <t>0556</t>
    </r>
  </si>
  <si>
    <t>盐粳1121</t>
  </si>
  <si>
    <r>
      <rPr>
        <sz val="11"/>
        <rFont val="宋体"/>
        <family val="0"/>
      </rPr>
      <t>淮迟</t>
    </r>
    <r>
      <rPr>
        <sz val="11"/>
        <rFont val="Times New Roman"/>
        <family val="1"/>
      </rPr>
      <t>08</t>
    </r>
  </si>
  <si>
    <r>
      <rPr>
        <sz val="10"/>
        <rFont val="宋体"/>
        <family val="0"/>
      </rPr>
      <t>淮迟区</t>
    </r>
    <r>
      <rPr>
        <sz val="10"/>
        <rFont val="Times New Roman"/>
        <family val="1"/>
      </rPr>
      <t>05</t>
    </r>
  </si>
  <si>
    <r>
      <rPr>
        <sz val="10"/>
        <color indexed="8"/>
        <rFont val="宋体"/>
        <family val="0"/>
      </rPr>
      <t>盐粳</t>
    </r>
    <r>
      <rPr>
        <sz val="10"/>
        <color indexed="8"/>
        <rFont val="Times New Roman"/>
        <family val="1"/>
      </rPr>
      <t>1121</t>
    </r>
  </si>
  <si>
    <t>小区产量(kg)</t>
  </si>
  <si>
    <t>折合亩产</t>
  </si>
  <si>
    <r>
      <rPr>
        <sz val="10"/>
        <rFont val="宋体"/>
        <family val="0"/>
      </rPr>
      <t>较</t>
    </r>
    <r>
      <rPr>
        <sz val="10"/>
        <color indexed="8"/>
        <rFont val="宋体"/>
        <family val="0"/>
      </rPr>
      <t>ck</t>
    </r>
  </si>
  <si>
    <t>(天)</t>
  </si>
  <si>
    <t>(万/亩)</t>
  </si>
  <si>
    <r>
      <rPr>
        <sz val="10"/>
        <rFont val="Times New Roman"/>
        <family val="1"/>
      </rPr>
      <t>(</t>
    </r>
    <r>
      <rPr>
        <sz val="10"/>
        <rFont val="宋体"/>
        <family val="0"/>
      </rPr>
      <t>万/亩)</t>
    </r>
  </si>
  <si>
    <r>
      <rPr>
        <sz val="10"/>
        <rFont val="Times New Roman"/>
        <family val="1"/>
      </rPr>
      <t>(</t>
    </r>
    <r>
      <rPr>
        <sz val="10"/>
        <rFont val="宋体"/>
        <family val="0"/>
      </rPr>
      <t>克)</t>
    </r>
  </si>
  <si>
    <r>
      <rPr>
        <sz val="10"/>
        <rFont val="Times New Roman"/>
        <family val="1"/>
      </rPr>
      <t>增减产</t>
    </r>
    <r>
      <rPr>
        <sz val="10"/>
        <color indexed="8"/>
        <rFont val="宋体"/>
        <family val="0"/>
      </rPr>
      <t>%</t>
    </r>
  </si>
  <si>
    <t>W032</t>
  </si>
  <si>
    <t>早晚01</t>
  </si>
  <si>
    <t>练湖</t>
  </si>
  <si>
    <t>通过初审，适宜江苏沿江和苏南地区种植</t>
  </si>
  <si>
    <t>武进</t>
  </si>
  <si>
    <t>沿江所</t>
  </si>
  <si>
    <t>张家港</t>
  </si>
  <si>
    <t>镇江所</t>
  </si>
  <si>
    <t>早晚区10</t>
  </si>
  <si>
    <t>常熟</t>
  </si>
  <si>
    <t>红旗</t>
  </si>
  <si>
    <t>靖江</t>
  </si>
  <si>
    <t>句容</t>
  </si>
  <si>
    <t>如皋</t>
  </si>
  <si>
    <r>
      <rPr>
        <sz val="10"/>
        <rFont val="宋体"/>
        <family val="0"/>
      </rPr>
      <t>早熟晚粳生试</t>
    </r>
    <r>
      <rPr>
        <sz val="10"/>
        <rFont val="Times New Roman"/>
        <family val="1"/>
      </rPr>
      <t>02</t>
    </r>
  </si>
  <si>
    <t>6/0</t>
  </si>
  <si>
    <r>
      <rPr>
        <sz val="10"/>
        <rFont val="宋体"/>
        <family val="0"/>
      </rPr>
      <t>张家港</t>
    </r>
  </si>
  <si>
    <r>
      <rPr>
        <sz val="10"/>
        <rFont val="宋体"/>
        <family val="0"/>
      </rPr>
      <t>太湖所</t>
    </r>
  </si>
  <si>
    <r>
      <rPr>
        <sz val="10"/>
        <rFont val="宋体"/>
        <family val="0"/>
      </rPr>
      <t>武进</t>
    </r>
  </si>
  <si>
    <r>
      <rPr>
        <sz val="10"/>
        <rFont val="宋体"/>
        <family val="0"/>
      </rPr>
      <t>沿江所</t>
    </r>
  </si>
  <si>
    <r>
      <rPr>
        <sz val="10"/>
        <rFont val="宋体"/>
        <family val="0"/>
      </rPr>
      <t>靖江</t>
    </r>
  </si>
  <si>
    <r>
      <rPr>
        <b/>
        <sz val="10"/>
        <rFont val="宋体"/>
        <family val="0"/>
      </rPr>
      <t>平均</t>
    </r>
  </si>
  <si>
    <t>常粳12-9</t>
  </si>
  <si>
    <r>
      <rPr>
        <sz val="10"/>
        <rFont val="宋体"/>
        <family val="0"/>
      </rPr>
      <t>晚迟区</t>
    </r>
    <r>
      <rPr>
        <sz val="10"/>
        <rFont val="Times New Roman"/>
        <family val="1"/>
      </rPr>
      <t>5</t>
    </r>
  </si>
  <si>
    <t>通过初审，适宜江苏苏南地区种植</t>
  </si>
  <si>
    <t>镇江</t>
  </si>
  <si>
    <t>太湖</t>
  </si>
  <si>
    <t>晚迟区01</t>
  </si>
  <si>
    <t>太湖所</t>
  </si>
  <si>
    <r>
      <rPr>
        <sz val="10"/>
        <rFont val="宋体"/>
        <family val="0"/>
      </rPr>
      <t>晚迟生</t>
    </r>
    <r>
      <rPr>
        <sz val="10"/>
        <rFont val="Times New Roman"/>
        <family val="1"/>
      </rPr>
      <t>01</t>
    </r>
  </si>
  <si>
    <t>小区产量(公斤)</t>
  </si>
  <si>
    <t>较ck</t>
  </si>
  <si>
    <t>(克)</t>
  </si>
  <si>
    <t>增减产%</t>
  </si>
  <si>
    <t>甬优1140</t>
  </si>
  <si>
    <t>晚杂粳07</t>
  </si>
  <si>
    <t>省院</t>
  </si>
  <si>
    <t>通过初审适宜江苏苏南地区种植</t>
  </si>
  <si>
    <t>苏州</t>
  </si>
  <si>
    <t>无锡</t>
  </si>
  <si>
    <r>
      <rPr>
        <sz val="10"/>
        <rFont val="宋体"/>
        <family val="0"/>
      </rPr>
      <t>杂晚区</t>
    </r>
    <r>
      <rPr>
        <sz val="10"/>
        <rFont val="Times New Roman"/>
        <family val="1"/>
      </rPr>
      <t>04</t>
    </r>
  </si>
  <si>
    <t>晚迟生01</t>
  </si>
  <si>
    <r>
      <t xml:space="preserve"> </t>
    </r>
    <r>
      <rPr>
        <sz val="11"/>
        <rFont val="黑体"/>
        <family val="0"/>
      </rPr>
      <t>品种
编号</t>
    </r>
  </si>
  <si>
    <t>参试
年限</t>
  </si>
  <si>
    <t>年份</t>
  </si>
  <si>
    <t>米质</t>
  </si>
  <si>
    <t>抗性</t>
  </si>
  <si>
    <t>主要农艺性状</t>
  </si>
  <si>
    <t>生育期较对照</t>
  </si>
  <si>
    <r>
      <t xml:space="preserve">考察
</t>
    </r>
    <r>
      <rPr>
        <sz val="11"/>
        <rFont val="黑体"/>
        <family val="0"/>
      </rPr>
      <t>评价</t>
    </r>
  </si>
  <si>
    <t>亩产量</t>
  </si>
  <si>
    <t>较对照</t>
  </si>
  <si>
    <r>
      <t>增</t>
    </r>
    <r>
      <rPr>
        <sz val="11"/>
        <rFont val="Times New Roman"/>
        <family val="1"/>
      </rPr>
      <t>/</t>
    </r>
    <r>
      <rPr>
        <sz val="11"/>
        <rFont val="黑体"/>
        <family val="0"/>
      </rPr>
      <t>减点</t>
    </r>
  </si>
  <si>
    <t>整精米率</t>
  </si>
  <si>
    <t>垩白率</t>
  </si>
  <si>
    <t>垩白度</t>
  </si>
  <si>
    <t>胶稠度</t>
  </si>
  <si>
    <t>直链淀粉</t>
  </si>
  <si>
    <t>长宽比</t>
  </si>
  <si>
    <t>优质等级</t>
  </si>
  <si>
    <t>食味分</t>
  </si>
  <si>
    <t>穗茎瘟损失率</t>
  </si>
  <si>
    <t>穗茎瘟综合抗性指数</t>
  </si>
  <si>
    <t>穗茎瘟（综合）</t>
  </si>
  <si>
    <t>白叶枯</t>
  </si>
  <si>
    <t>纹枯病</t>
  </si>
  <si>
    <t>条纹叶枯</t>
  </si>
  <si>
    <r>
      <t>每亩有效穗（万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亩）</t>
    </r>
  </si>
  <si>
    <r>
      <t>每穗</t>
    </r>
    <r>
      <rPr>
        <sz val="10"/>
        <color indexed="8"/>
        <rFont val="宋体"/>
        <family val="0"/>
      </rPr>
      <t>实粒数</t>
    </r>
  </si>
  <si>
    <r>
      <t xml:space="preserve">结实率
</t>
    </r>
    <r>
      <rPr>
        <sz val="10"/>
        <color indexed="8"/>
        <rFont val="Times New Roman"/>
        <family val="1"/>
      </rPr>
      <t>(%)</t>
    </r>
  </si>
  <si>
    <t>全生育期（天）</t>
  </si>
  <si>
    <r>
      <t>中粳生</t>
    </r>
    <r>
      <rPr>
        <sz val="11"/>
        <rFont val="Times New Roman"/>
        <family val="1"/>
      </rPr>
      <t>01</t>
    </r>
  </si>
  <si>
    <r>
      <t>迁稻</t>
    </r>
    <r>
      <rPr>
        <sz val="11"/>
        <rFont val="Times New Roman"/>
        <family val="1"/>
      </rPr>
      <t>11-72</t>
    </r>
  </si>
  <si>
    <r>
      <t>2013</t>
    </r>
    <r>
      <rPr>
        <sz val="11"/>
        <rFont val="黑体"/>
        <family val="0"/>
      </rPr>
      <t>年中粳</t>
    </r>
    <r>
      <rPr>
        <sz val="11"/>
        <rFont val="Times New Roman"/>
        <family val="1"/>
      </rPr>
      <t>08</t>
    </r>
  </si>
  <si>
    <t>4.7**</t>
  </si>
  <si>
    <t>8/1</t>
  </si>
  <si>
    <r>
      <t>优</t>
    </r>
    <r>
      <rPr>
        <sz val="11"/>
        <rFont val="Times New Roman"/>
        <family val="1"/>
      </rPr>
      <t>2</t>
    </r>
  </si>
  <si>
    <t>R</t>
  </si>
  <si>
    <r>
      <t>2014</t>
    </r>
    <r>
      <rPr>
        <sz val="11"/>
        <rFont val="黑体"/>
        <family val="0"/>
      </rPr>
      <t>年中粳</t>
    </r>
    <r>
      <rPr>
        <sz val="11"/>
        <rFont val="Times New Roman"/>
        <family val="1"/>
      </rPr>
      <t>05</t>
    </r>
  </si>
  <si>
    <t>9/1</t>
  </si>
  <si>
    <t>/</t>
  </si>
  <si>
    <r>
      <t>2015</t>
    </r>
    <r>
      <rPr>
        <sz val="11"/>
        <rFont val="黑体"/>
        <family val="0"/>
      </rPr>
      <t>年</t>
    </r>
  </si>
  <si>
    <r>
      <t>中粳生</t>
    </r>
    <r>
      <rPr>
        <sz val="11"/>
        <rFont val="Times New Roman"/>
        <family val="1"/>
      </rPr>
      <t>02</t>
    </r>
  </si>
  <si>
    <r>
      <t>2013</t>
    </r>
    <r>
      <rPr>
        <sz val="11"/>
        <rFont val="黑体"/>
        <family val="0"/>
      </rPr>
      <t>年中粳</t>
    </r>
    <r>
      <rPr>
        <sz val="11"/>
        <rFont val="Times New Roman"/>
        <family val="1"/>
      </rPr>
      <t>11</t>
    </r>
  </si>
  <si>
    <r>
      <t>优</t>
    </r>
    <r>
      <rPr>
        <sz val="11"/>
        <rFont val="Times New Roman"/>
        <family val="1"/>
      </rPr>
      <t>3</t>
    </r>
  </si>
  <si>
    <r>
      <t>2014</t>
    </r>
    <r>
      <rPr>
        <sz val="11"/>
        <rFont val="黑体"/>
        <family val="0"/>
      </rPr>
      <t>年中粳</t>
    </r>
    <r>
      <rPr>
        <sz val="11"/>
        <rFont val="Times New Roman"/>
        <family val="1"/>
      </rPr>
      <t>03</t>
    </r>
  </si>
  <si>
    <t>7/3</t>
  </si>
  <si>
    <t>S</t>
  </si>
  <si>
    <r>
      <t>中粳生</t>
    </r>
    <r>
      <rPr>
        <sz val="11"/>
        <rFont val="Times New Roman"/>
        <family val="1"/>
      </rPr>
      <t>03</t>
    </r>
  </si>
  <si>
    <r>
      <t>盐粳</t>
    </r>
    <r>
      <rPr>
        <sz val="11"/>
        <rFont val="Times New Roman"/>
        <family val="1"/>
      </rPr>
      <t>11040</t>
    </r>
  </si>
  <si>
    <r>
      <t>2013</t>
    </r>
    <r>
      <rPr>
        <sz val="11"/>
        <rFont val="黑体"/>
        <family val="0"/>
      </rPr>
      <t>年中粳</t>
    </r>
    <r>
      <rPr>
        <sz val="11"/>
        <rFont val="Times New Roman"/>
        <family val="1"/>
      </rPr>
      <t>04</t>
    </r>
  </si>
  <si>
    <t>4**</t>
  </si>
  <si>
    <t>7/2</t>
  </si>
  <si>
    <r>
      <t>2014</t>
    </r>
    <r>
      <rPr>
        <sz val="11"/>
        <rFont val="黑体"/>
        <family val="0"/>
      </rPr>
      <t>年中粳</t>
    </r>
    <r>
      <rPr>
        <sz val="11"/>
        <rFont val="Times New Roman"/>
        <family val="1"/>
      </rPr>
      <t>10</t>
    </r>
  </si>
  <si>
    <t>10/0</t>
  </si>
  <si>
    <t>镇稻88（ck）</t>
  </si>
  <si>
    <r>
      <t>2013</t>
    </r>
    <r>
      <rPr>
        <sz val="11"/>
        <rFont val="黑体"/>
        <family val="0"/>
      </rPr>
      <t>年</t>
    </r>
  </si>
  <si>
    <t>连粳7号（CK）</t>
  </si>
  <si>
    <r>
      <t>2014</t>
    </r>
    <r>
      <rPr>
        <sz val="11"/>
        <rFont val="黑体"/>
        <family val="0"/>
      </rPr>
      <t>年</t>
    </r>
  </si>
  <si>
    <r>
      <t>迟粳生</t>
    </r>
    <r>
      <rPr>
        <sz val="11"/>
        <rFont val="Times New Roman"/>
        <family val="1"/>
      </rPr>
      <t>01</t>
    </r>
  </si>
  <si>
    <r>
      <t>2013</t>
    </r>
    <r>
      <rPr>
        <sz val="11"/>
        <rFont val="黑体"/>
        <family val="0"/>
      </rPr>
      <t>年迟粳</t>
    </r>
    <r>
      <rPr>
        <sz val="11"/>
        <rFont val="Times New Roman"/>
        <family val="1"/>
      </rPr>
      <t>02</t>
    </r>
  </si>
  <si>
    <t>9.06**</t>
  </si>
  <si>
    <r>
      <t>2014</t>
    </r>
    <r>
      <rPr>
        <sz val="11"/>
        <rFont val="黑体"/>
        <family val="0"/>
      </rPr>
      <t>年迟粳</t>
    </r>
    <r>
      <rPr>
        <sz val="11"/>
        <rFont val="Times New Roman"/>
        <family val="1"/>
      </rPr>
      <t>01</t>
    </r>
  </si>
  <si>
    <t>10/10</t>
  </si>
  <si>
    <t>8/8</t>
  </si>
  <si>
    <t>迟粳生02</t>
  </si>
  <si>
    <r>
      <t>苏垦</t>
    </r>
    <r>
      <rPr>
        <sz val="11"/>
        <rFont val="Times New Roman"/>
        <family val="1"/>
      </rPr>
      <t>118</t>
    </r>
  </si>
  <si>
    <r>
      <t>2013</t>
    </r>
    <r>
      <rPr>
        <sz val="11"/>
        <rFont val="黑体"/>
        <family val="0"/>
      </rPr>
      <t>年迟粳</t>
    </r>
    <r>
      <rPr>
        <sz val="11"/>
        <rFont val="Times New Roman"/>
        <family val="1"/>
      </rPr>
      <t>07</t>
    </r>
  </si>
  <si>
    <t>5.84*</t>
  </si>
  <si>
    <r>
      <t>2014</t>
    </r>
    <r>
      <rPr>
        <sz val="11"/>
        <rFont val="黑体"/>
        <family val="0"/>
      </rPr>
      <t>年迟粳</t>
    </r>
    <r>
      <rPr>
        <sz val="11"/>
        <rFont val="Times New Roman"/>
        <family val="1"/>
      </rPr>
      <t>05</t>
    </r>
  </si>
  <si>
    <t>8/10</t>
  </si>
  <si>
    <t>HR</t>
  </si>
  <si>
    <t>镇稻14号（CK）</t>
  </si>
  <si>
    <t>优3</t>
  </si>
  <si>
    <t>淮稻9号</t>
  </si>
  <si>
    <t>武运粳24号(CK)</t>
  </si>
  <si>
    <r>
      <t>2014</t>
    </r>
    <r>
      <rPr>
        <sz val="11"/>
        <rFont val="宋体"/>
        <family val="0"/>
      </rPr>
      <t>年</t>
    </r>
  </si>
  <si>
    <r>
      <t>淮迟生</t>
    </r>
    <r>
      <rPr>
        <sz val="11"/>
        <rFont val="Times New Roman"/>
        <family val="1"/>
      </rPr>
      <t>01</t>
    </r>
  </si>
  <si>
    <r>
      <t>泰粳</t>
    </r>
    <r>
      <rPr>
        <sz val="11"/>
        <rFont val="Times New Roman"/>
        <family val="1"/>
      </rPr>
      <t>1152</t>
    </r>
  </si>
  <si>
    <r>
      <t>2013</t>
    </r>
    <r>
      <rPr>
        <sz val="11"/>
        <rFont val="黑体"/>
        <family val="0"/>
      </rPr>
      <t>年淮迟</t>
    </r>
    <r>
      <rPr>
        <sz val="11"/>
        <rFont val="Times New Roman"/>
        <family val="1"/>
      </rPr>
      <t>06</t>
    </r>
  </si>
  <si>
    <t>9/0</t>
  </si>
  <si>
    <r>
      <t>2014</t>
    </r>
    <r>
      <rPr>
        <sz val="11"/>
        <rFont val="黑体"/>
        <family val="0"/>
      </rPr>
      <t>年淮迟</t>
    </r>
    <r>
      <rPr>
        <sz val="11"/>
        <rFont val="Times New Roman"/>
        <family val="1"/>
      </rPr>
      <t>06</t>
    </r>
  </si>
  <si>
    <t>9/10</t>
  </si>
  <si>
    <t>6/6</t>
  </si>
  <si>
    <r>
      <t>淮迟生</t>
    </r>
    <r>
      <rPr>
        <sz val="11"/>
        <rFont val="Times New Roman"/>
        <family val="1"/>
      </rPr>
      <t>03</t>
    </r>
  </si>
  <si>
    <r>
      <t>华</t>
    </r>
    <r>
      <rPr>
        <sz val="11"/>
        <rFont val="Times New Roman"/>
        <family val="1"/>
      </rPr>
      <t>0556</t>
    </r>
  </si>
  <si>
    <r>
      <t>2013</t>
    </r>
    <r>
      <rPr>
        <sz val="11"/>
        <rFont val="黑体"/>
        <family val="0"/>
      </rPr>
      <t>年淮迟</t>
    </r>
    <r>
      <rPr>
        <sz val="11"/>
        <rFont val="Times New Roman"/>
        <family val="1"/>
      </rPr>
      <t>05</t>
    </r>
  </si>
  <si>
    <r>
      <t>2014</t>
    </r>
    <r>
      <rPr>
        <sz val="11"/>
        <rFont val="黑体"/>
        <family val="0"/>
      </rPr>
      <t>年淮迟</t>
    </r>
    <r>
      <rPr>
        <sz val="11"/>
        <rFont val="Times New Roman"/>
        <family val="1"/>
      </rPr>
      <t>02</t>
    </r>
  </si>
  <si>
    <t>7/10</t>
  </si>
  <si>
    <r>
      <t>淮迟生</t>
    </r>
    <r>
      <rPr>
        <sz val="11"/>
        <rFont val="Times New Roman"/>
        <family val="1"/>
      </rPr>
      <t>04</t>
    </r>
  </si>
  <si>
    <r>
      <t>盐粳</t>
    </r>
    <r>
      <rPr>
        <sz val="11"/>
        <rFont val="Times New Roman"/>
        <family val="1"/>
      </rPr>
      <t>1121</t>
    </r>
  </si>
  <si>
    <r>
      <t>2013</t>
    </r>
    <r>
      <rPr>
        <sz val="11"/>
        <rFont val="黑体"/>
        <family val="0"/>
      </rPr>
      <t>年淮迟</t>
    </r>
    <r>
      <rPr>
        <sz val="11"/>
        <rFont val="Times New Roman"/>
        <family val="1"/>
      </rPr>
      <t>08</t>
    </r>
  </si>
  <si>
    <r>
      <t>2014</t>
    </r>
    <r>
      <rPr>
        <sz val="11"/>
        <rFont val="黑体"/>
        <family val="0"/>
      </rPr>
      <t>年淮迟</t>
    </r>
    <r>
      <rPr>
        <sz val="11"/>
        <rFont val="Times New Roman"/>
        <family val="1"/>
      </rPr>
      <t>05</t>
    </r>
  </si>
  <si>
    <r>
      <t>武运粳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CK</t>
    </r>
    <r>
      <rPr>
        <sz val="11"/>
        <rFont val="宋体"/>
        <family val="0"/>
      </rPr>
      <t>）</t>
    </r>
  </si>
  <si>
    <r>
      <t>武运粳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号</t>
    </r>
  </si>
  <si>
    <r>
      <t>早晚生</t>
    </r>
    <r>
      <rPr>
        <sz val="11"/>
        <rFont val="Times New Roman"/>
        <family val="1"/>
      </rPr>
      <t>02</t>
    </r>
  </si>
  <si>
    <r>
      <t>2013</t>
    </r>
    <r>
      <rPr>
        <sz val="11"/>
        <rFont val="黑体"/>
        <family val="0"/>
      </rPr>
      <t>年早晚粳</t>
    </r>
    <r>
      <rPr>
        <sz val="11"/>
        <rFont val="Times New Roman"/>
        <family val="1"/>
      </rPr>
      <t>1</t>
    </r>
  </si>
  <si>
    <t>5/2</t>
  </si>
  <si>
    <t>阴糯</t>
  </si>
  <si>
    <r>
      <t>2014</t>
    </r>
    <r>
      <rPr>
        <sz val="11"/>
        <rFont val="黑体"/>
        <family val="0"/>
      </rPr>
      <t>年早晚区</t>
    </r>
    <r>
      <rPr>
        <sz val="11"/>
        <rFont val="Times New Roman"/>
        <family val="1"/>
      </rPr>
      <t>10</t>
    </r>
  </si>
  <si>
    <t>6/9</t>
  </si>
  <si>
    <t>武运粳23（CK）</t>
  </si>
  <si>
    <r>
      <t>常粳</t>
    </r>
    <r>
      <rPr>
        <sz val="11"/>
        <rFont val="Times New Roman"/>
        <family val="1"/>
      </rPr>
      <t>12-9</t>
    </r>
  </si>
  <si>
    <r>
      <t>2013</t>
    </r>
    <r>
      <rPr>
        <sz val="11"/>
        <rFont val="黑体"/>
        <family val="0"/>
      </rPr>
      <t>年晚迟区</t>
    </r>
    <r>
      <rPr>
        <sz val="11"/>
        <rFont val="Times New Roman"/>
        <family val="1"/>
      </rPr>
      <t>6</t>
    </r>
  </si>
  <si>
    <t>5/1</t>
  </si>
  <si>
    <r>
      <t>2014</t>
    </r>
    <r>
      <rPr>
        <sz val="11"/>
        <rFont val="黑体"/>
        <family val="0"/>
      </rPr>
      <t>年晚迟区</t>
    </r>
    <r>
      <rPr>
        <sz val="11"/>
        <rFont val="Times New Roman"/>
        <family val="1"/>
      </rPr>
      <t>01</t>
    </r>
  </si>
  <si>
    <t>6/8</t>
  </si>
  <si>
    <t>晚迟区11</t>
  </si>
  <si>
    <r>
      <t>武运粳</t>
    </r>
    <r>
      <rPr>
        <sz val="11"/>
        <color indexed="8"/>
        <rFont val="Times New Roman"/>
        <family val="1"/>
      </rPr>
      <t>23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CK)</t>
    </r>
  </si>
  <si>
    <r>
      <t>晚杂粳</t>
    </r>
    <r>
      <rPr>
        <sz val="11"/>
        <rFont val="Times New Roman"/>
        <family val="1"/>
      </rPr>
      <t>01</t>
    </r>
  </si>
  <si>
    <r>
      <t>甬优</t>
    </r>
    <r>
      <rPr>
        <sz val="11"/>
        <rFont val="Times New Roman"/>
        <family val="1"/>
      </rPr>
      <t>1140</t>
    </r>
  </si>
  <si>
    <r>
      <t>2013</t>
    </r>
    <r>
      <rPr>
        <sz val="11"/>
        <rFont val="黑体"/>
        <family val="0"/>
      </rPr>
      <t>年晚杂粳</t>
    </r>
    <r>
      <rPr>
        <sz val="11"/>
        <rFont val="Times New Roman"/>
        <family val="1"/>
      </rPr>
      <t>7</t>
    </r>
  </si>
  <si>
    <t>3/3</t>
  </si>
  <si>
    <r>
      <t>2014</t>
    </r>
    <r>
      <rPr>
        <sz val="11"/>
        <rFont val="黑体"/>
        <family val="0"/>
      </rPr>
      <t>年晚杂粳</t>
    </r>
    <r>
      <rPr>
        <sz val="11"/>
        <rFont val="Times New Roman"/>
        <family val="1"/>
      </rPr>
      <t>03</t>
    </r>
  </si>
  <si>
    <t>4/6</t>
  </si>
  <si>
    <t>4/1</t>
  </si>
  <si>
    <t>甬优8号（CK）</t>
  </si>
  <si>
    <r>
      <t>2013</t>
    </r>
    <r>
      <rPr>
        <sz val="11"/>
        <rFont val="宋体"/>
        <family val="0"/>
      </rPr>
      <t>年</t>
    </r>
  </si>
  <si>
    <r>
      <t>2015</t>
    </r>
    <r>
      <rPr>
        <sz val="11"/>
        <rFont val="宋体"/>
        <family val="0"/>
      </rPr>
      <t>年</t>
    </r>
  </si>
  <si>
    <r>
      <t>2016</t>
    </r>
    <r>
      <rPr>
        <b/>
        <sz val="24"/>
        <rFont val="华文中宋"/>
        <family val="0"/>
      </rPr>
      <t>年报审水稻品种性状表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</si>
</sst>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.0;_가"/>
    <numFmt numFmtId="180" formatCode="0;_ᰀ"/>
    <numFmt numFmtId="181" formatCode="0.0;_ఀ"/>
    <numFmt numFmtId="182" formatCode="0.00_);[Red]\(0.00\)"/>
    <numFmt numFmtId="183" formatCode="0.00_ "/>
    <numFmt numFmtId="184" formatCode="0.00;_ࠀ"/>
    <numFmt numFmtId="185" formatCode="0_);[Red]\(0\)"/>
    <numFmt numFmtId="186" formatCode="0.0;_ᰀ"/>
    <numFmt numFmtId="187" formatCode="0;[Red]0"/>
    <numFmt numFmtId="188" formatCode="0.0;[Red]0.0"/>
    <numFmt numFmtId="189" formatCode="0.00;[Red]0.00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2"/>
      <name val="宋体"/>
      <family val="0"/>
    </font>
    <font>
      <sz val="10"/>
      <color indexed="63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黑体"/>
      <family val="0"/>
    </font>
    <font>
      <sz val="11"/>
      <color indexed="8"/>
      <name val="黑体"/>
      <family val="0"/>
    </font>
    <font>
      <sz val="20"/>
      <name val="黑体"/>
      <family val="0"/>
    </font>
    <font>
      <sz val="11"/>
      <color indexed="10"/>
      <name val="Times New Roman"/>
      <family val="1"/>
    </font>
    <font>
      <sz val="11"/>
      <color indexed="10"/>
      <name val="黑体"/>
      <family val="0"/>
    </font>
    <font>
      <sz val="10"/>
      <color indexed="8"/>
      <name val="黑体"/>
      <family val="0"/>
    </font>
    <font>
      <sz val="10.5"/>
      <name val="宋体"/>
      <family val="0"/>
    </font>
    <font>
      <sz val="9"/>
      <name val="宋体"/>
      <family val="0"/>
    </font>
    <font>
      <b/>
      <sz val="24"/>
      <name val="Times New Roman"/>
      <family val="1"/>
    </font>
    <font>
      <b/>
      <sz val="24"/>
      <name val="华文中宋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1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1" fillId="0" borderId="0">
      <alignment vertical="center"/>
      <protection/>
    </xf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0" fillId="32" borderId="9" applyNumberFormat="0" applyFont="0" applyAlignment="0" applyProtection="0"/>
  </cellStyleXfs>
  <cellXfs count="375">
    <xf numFmtId="0" fontId="0" fillId="0" borderId="0" xfId="0" applyFont="1" applyAlignment="1">
      <alignment vertical="center"/>
    </xf>
    <xf numFmtId="178" fontId="2" fillId="0" borderId="10" xfId="50" applyNumberFormat="1" applyFont="1" applyBorder="1" applyAlignment="1">
      <alignment horizontal="center" vertical="center"/>
      <protection/>
    </xf>
    <xf numFmtId="178" fontId="2" fillId="0" borderId="11" xfId="50" applyNumberFormat="1" applyFont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8" fontId="5" fillId="0" borderId="10" xfId="50" applyNumberFormat="1" applyFont="1" applyBorder="1" applyAlignment="1">
      <alignment horizontal="center" vertical="center"/>
      <protection/>
    </xf>
    <xf numFmtId="177" fontId="6" fillId="0" borderId="10" xfId="50" applyNumberFormat="1" applyFont="1" applyBorder="1" applyAlignment="1">
      <alignment horizontal="center" vertical="center"/>
      <protection/>
    </xf>
    <xf numFmtId="178" fontId="6" fillId="0" borderId="12" xfId="50" applyNumberFormat="1" applyFont="1" applyBorder="1" applyAlignment="1">
      <alignment horizontal="center" vertical="center"/>
      <protection/>
    </xf>
    <xf numFmtId="176" fontId="6" fillId="0" borderId="10" xfId="50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79" fontId="4" fillId="0" borderId="10" xfId="0" applyNumberFormat="1" applyFont="1" applyFill="1" applyBorder="1" applyAlignment="1">
      <alignment horizont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2" fontId="2" fillId="0" borderId="10" xfId="50" applyNumberFormat="1" applyFont="1" applyBorder="1" applyAlignment="1">
      <alignment horizontal="center" vertical="center"/>
      <protection/>
    </xf>
    <xf numFmtId="183" fontId="3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183" fontId="6" fillId="0" borderId="10" xfId="50" applyNumberFormat="1" applyFont="1" applyBorder="1" applyAlignment="1">
      <alignment horizontal="center" vertical="center"/>
      <protection/>
    </xf>
    <xf numFmtId="184" fontId="3" fillId="0" borderId="10" xfId="0" applyNumberFormat="1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center" wrapText="1"/>
    </xf>
    <xf numFmtId="184" fontId="6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183" fontId="7" fillId="0" borderId="10" xfId="50" applyNumberFormat="1" applyFont="1" applyBorder="1" applyAlignment="1">
      <alignment horizontal="center" vertical="center"/>
      <protection/>
    </xf>
    <xf numFmtId="185" fontId="2" fillId="0" borderId="10" xfId="50" applyNumberFormat="1" applyFont="1" applyBorder="1" applyAlignment="1">
      <alignment horizontal="center" vertical="center"/>
      <protection/>
    </xf>
    <xf numFmtId="185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85" fontId="6" fillId="0" borderId="10" xfId="50" applyNumberFormat="1" applyFont="1" applyBorder="1" applyAlignment="1">
      <alignment horizontal="center" vertical="center"/>
      <protection/>
    </xf>
    <xf numFmtId="18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wrapText="1"/>
    </xf>
    <xf numFmtId="182" fontId="10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188" fontId="2" fillId="0" borderId="13" xfId="0" applyNumberFormat="1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88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2" fillId="0" borderId="10" xfId="0" applyNumberFormat="1" applyFont="1" applyFill="1" applyBorder="1" applyAlignment="1">
      <alignment horizontal="center" vertical="center" wrapText="1"/>
    </xf>
    <xf numFmtId="189" fontId="2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 wrapText="1"/>
    </xf>
    <xf numFmtId="189" fontId="2" fillId="0" borderId="18" xfId="0" applyNumberFormat="1" applyFont="1" applyFill="1" applyBorder="1" applyAlignment="1">
      <alignment horizontal="center" vertical="center" wrapText="1"/>
    </xf>
    <xf numFmtId="189" fontId="2" fillId="0" borderId="17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top" wrapText="1"/>
    </xf>
    <xf numFmtId="182" fontId="14" fillId="0" borderId="10" xfId="0" applyNumberFormat="1" applyFont="1" applyFill="1" applyBorder="1" applyAlignment="1">
      <alignment horizontal="center" vertical="top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wrapText="1"/>
    </xf>
    <xf numFmtId="178" fontId="14" fillId="0" borderId="10" xfId="0" applyNumberFormat="1" applyFont="1" applyFill="1" applyBorder="1" applyAlignment="1">
      <alignment horizontal="center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center" vertical="center"/>
    </xf>
    <xf numFmtId="183" fontId="14" fillId="0" borderId="10" xfId="0" applyNumberFormat="1" applyFont="1" applyFill="1" applyBorder="1" applyAlignment="1">
      <alignment horizontal="center" vertical="center" wrapText="1"/>
    </xf>
    <xf numFmtId="18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183" fontId="16" fillId="0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3" fontId="13" fillId="0" borderId="10" xfId="0" applyNumberFormat="1" applyFont="1" applyFill="1" applyBorder="1" applyAlignment="1">
      <alignment horizontal="center" vertical="center"/>
    </xf>
    <xf numFmtId="183" fontId="17" fillId="0" borderId="10" xfId="0" applyNumberFormat="1" applyFont="1" applyFill="1" applyBorder="1" applyAlignment="1">
      <alignment horizontal="center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/>
    </xf>
    <xf numFmtId="182" fontId="17" fillId="0" borderId="10" xfId="0" applyNumberFormat="1" applyFont="1" applyFill="1" applyBorder="1" applyAlignment="1">
      <alignment horizontal="center" vertical="center" wrapText="1"/>
    </xf>
    <xf numFmtId="182" fontId="17" fillId="0" borderId="10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185" fontId="3" fillId="0" borderId="1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85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0" fontId="11" fillId="0" borderId="0" xfId="40">
      <alignment vertical="center"/>
      <protection/>
    </xf>
    <xf numFmtId="0" fontId="14" fillId="0" borderId="0" xfId="40" applyFont="1" applyAlignment="1">
      <alignment horizontal="center" vertical="center"/>
      <protection/>
    </xf>
    <xf numFmtId="0" fontId="14" fillId="0" borderId="10" xfId="40" applyFont="1" applyBorder="1" applyAlignment="1">
      <alignment horizontal="center" vertical="center" wrapText="1"/>
      <protection/>
    </xf>
    <xf numFmtId="0" fontId="14" fillId="33" borderId="10" xfId="40" applyFont="1" applyFill="1" applyBorder="1" applyAlignment="1">
      <alignment horizontal="center" vertical="center"/>
      <protection/>
    </xf>
    <xf numFmtId="0" fontId="14" fillId="0" borderId="0" xfId="40" applyFont="1" applyAlignment="1">
      <alignment horizontal="center" vertical="center" shrinkToFit="1"/>
      <protection/>
    </xf>
    <xf numFmtId="178" fontId="14" fillId="33" borderId="10" xfId="40" applyNumberFormat="1" applyFont="1" applyFill="1" applyBorder="1" applyAlignment="1">
      <alignment horizontal="center" vertical="center" shrinkToFit="1"/>
      <protection/>
    </xf>
    <xf numFmtId="0" fontId="14" fillId="0" borderId="10" xfId="40" applyFont="1" applyBorder="1" applyAlignment="1">
      <alignment horizontal="center" vertical="center"/>
      <protection/>
    </xf>
    <xf numFmtId="178" fontId="14" fillId="33" borderId="10" xfId="40" applyNumberFormat="1" applyFont="1" applyFill="1" applyBorder="1" applyAlignment="1">
      <alignment horizontal="center" vertical="center"/>
      <protection/>
    </xf>
    <xf numFmtId="176" fontId="14" fillId="33" borderId="10" xfId="44" applyNumberFormat="1" applyFont="1" applyFill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178" fontId="19" fillId="33" borderId="10" xfId="40" applyNumberFormat="1" applyFont="1" applyFill="1" applyBorder="1" applyAlignment="1">
      <alignment horizontal="center" vertical="center"/>
      <protection/>
    </xf>
    <xf numFmtId="178" fontId="17" fillId="33" borderId="10" xfId="45" applyNumberFormat="1" applyFont="1" applyFill="1" applyBorder="1" applyAlignment="1">
      <alignment horizontal="center" vertical="center" wrapText="1"/>
      <protection/>
    </xf>
    <xf numFmtId="0" fontId="14" fillId="33" borderId="10" xfId="40" applyFont="1" applyFill="1" applyBorder="1" applyAlignment="1">
      <alignment horizontal="center" vertical="center" wrapText="1"/>
      <protection/>
    </xf>
    <xf numFmtId="178" fontId="17" fillId="33" borderId="10" xfId="40" applyNumberFormat="1" applyFont="1" applyFill="1" applyBorder="1" applyAlignment="1">
      <alignment horizontal="center" vertical="center"/>
      <protection/>
    </xf>
    <xf numFmtId="176" fontId="14" fillId="33" borderId="10" xfId="46" applyNumberFormat="1" applyFont="1" applyFill="1" applyBorder="1" applyAlignment="1">
      <alignment horizontal="center" vertical="center"/>
      <protection/>
    </xf>
    <xf numFmtId="176" fontId="14" fillId="33" borderId="10" xfId="40" applyNumberFormat="1" applyFont="1" applyFill="1" applyBorder="1" applyAlignment="1">
      <alignment horizontal="center" vertical="center"/>
      <protection/>
    </xf>
    <xf numFmtId="49" fontId="14" fillId="33" borderId="10" xfId="40" applyNumberFormat="1" applyFont="1" applyFill="1" applyBorder="1" applyAlignment="1">
      <alignment horizontal="center" vertical="center"/>
      <protection/>
    </xf>
    <xf numFmtId="0" fontId="14" fillId="33" borderId="10" xfId="40" applyFont="1" applyFill="1" applyBorder="1" applyAlignment="1">
      <alignment horizontal="center" vertical="center" shrinkToFit="1"/>
      <protection/>
    </xf>
    <xf numFmtId="49" fontId="14" fillId="33" borderId="10" xfId="40" applyNumberFormat="1" applyFont="1" applyFill="1" applyBorder="1" applyAlignment="1">
      <alignment horizontal="center" vertical="center" shrinkToFit="1"/>
      <protection/>
    </xf>
    <xf numFmtId="176" fontId="14" fillId="33" borderId="10" xfId="40" applyNumberFormat="1" applyFont="1" applyFill="1" applyBorder="1" applyAlignment="1">
      <alignment horizontal="center" vertical="center" shrinkToFit="1"/>
      <protection/>
    </xf>
    <xf numFmtId="49" fontId="14" fillId="33" borderId="10" xfId="44" applyNumberFormat="1" applyFont="1" applyFill="1" applyBorder="1" applyAlignment="1">
      <alignment horizontal="center" vertical="center"/>
      <protection/>
    </xf>
    <xf numFmtId="177" fontId="14" fillId="33" borderId="10" xfId="40" applyNumberFormat="1" applyFont="1" applyFill="1" applyBorder="1" applyAlignment="1">
      <alignment horizontal="center" vertical="center"/>
      <protection/>
    </xf>
    <xf numFmtId="0" fontId="14" fillId="33" borderId="10" xfId="44" applyFont="1" applyFill="1" applyBorder="1" applyAlignment="1">
      <alignment horizontal="center" vertical="center"/>
      <protection/>
    </xf>
    <xf numFmtId="0" fontId="19" fillId="33" borderId="10" xfId="40" applyFont="1" applyFill="1" applyBorder="1" applyAlignment="1">
      <alignment horizontal="center" vertical="center"/>
      <protection/>
    </xf>
    <xf numFmtId="176" fontId="19" fillId="33" borderId="10" xfId="40" applyNumberFormat="1" applyFont="1" applyFill="1" applyBorder="1" applyAlignment="1">
      <alignment horizontal="center" vertical="center"/>
      <protection/>
    </xf>
    <xf numFmtId="49" fontId="19" fillId="33" borderId="10" xfId="40" applyNumberFormat="1" applyFont="1" applyFill="1" applyBorder="1" applyAlignment="1">
      <alignment horizontal="center" vertical="center"/>
      <protection/>
    </xf>
    <xf numFmtId="183" fontId="17" fillId="33" borderId="10" xfId="45" applyNumberFormat="1" applyFont="1" applyFill="1" applyBorder="1" applyAlignment="1">
      <alignment horizontal="center" vertical="center" wrapText="1"/>
      <protection/>
    </xf>
    <xf numFmtId="49" fontId="17" fillId="33" borderId="10" xfId="45" applyNumberFormat="1" applyFont="1" applyFill="1" applyBorder="1" applyAlignment="1">
      <alignment horizontal="center" vertical="center"/>
      <protection/>
    </xf>
    <xf numFmtId="49" fontId="17" fillId="33" borderId="10" xfId="45" applyNumberFormat="1" applyFont="1" applyFill="1" applyBorder="1" applyAlignment="1">
      <alignment horizontal="center" vertical="center" wrapText="1"/>
      <protection/>
    </xf>
    <xf numFmtId="182" fontId="17" fillId="33" borderId="10" xfId="40" applyNumberFormat="1" applyFont="1" applyFill="1" applyBorder="1" applyAlignment="1">
      <alignment horizontal="center" vertical="center"/>
      <protection/>
    </xf>
    <xf numFmtId="49" fontId="17" fillId="33" borderId="10" xfId="40" applyNumberFormat="1" applyFont="1" applyFill="1" applyBorder="1" applyAlignment="1">
      <alignment horizontal="center" vertical="center"/>
      <protection/>
    </xf>
    <xf numFmtId="49" fontId="14" fillId="33" borderId="10" xfId="46" applyNumberFormat="1" applyFont="1" applyFill="1" applyBorder="1" applyAlignment="1">
      <alignment horizontal="center" vertical="center"/>
      <protection/>
    </xf>
    <xf numFmtId="0" fontId="22" fillId="33" borderId="10" xfId="40" applyFont="1" applyFill="1" applyBorder="1" applyAlignment="1">
      <alignment horizontal="center" vertical="center"/>
      <protection/>
    </xf>
    <xf numFmtId="0" fontId="14" fillId="33" borderId="10" xfId="46" applyFont="1" applyFill="1" applyBorder="1" applyAlignment="1">
      <alignment horizontal="center" vertical="center"/>
      <protection/>
    </xf>
    <xf numFmtId="183" fontId="14" fillId="33" borderId="10" xfId="53" applyNumberFormat="1" applyFont="1" applyFill="1" applyBorder="1" applyAlignment="1">
      <alignment horizontal="center" vertical="center"/>
      <protection/>
    </xf>
    <xf numFmtId="49" fontId="14" fillId="33" borderId="10" xfId="53" applyNumberFormat="1" applyFont="1" applyFill="1" applyBorder="1" applyAlignment="1">
      <alignment horizontal="center" vertical="center"/>
      <protection/>
    </xf>
    <xf numFmtId="183" fontId="17" fillId="33" borderId="10" xfId="40" applyNumberFormat="1" applyFont="1" applyFill="1" applyBorder="1" applyAlignment="1">
      <alignment horizontal="center" vertical="center"/>
      <protection/>
    </xf>
    <xf numFmtId="0" fontId="14" fillId="33" borderId="10" xfId="40" applyNumberFormat="1" applyFont="1" applyFill="1" applyBorder="1" applyAlignment="1">
      <alignment horizontal="center" vertical="center" wrapText="1" shrinkToFit="1"/>
      <protection/>
    </xf>
    <xf numFmtId="183" fontId="17" fillId="33" borderId="10" xfId="40" applyNumberFormat="1" applyFont="1" applyFill="1" applyBorder="1" applyAlignment="1">
      <alignment horizontal="center" vertical="center" wrapText="1" shrinkToFit="1"/>
      <protection/>
    </xf>
    <xf numFmtId="49" fontId="17" fillId="33" borderId="10" xfId="40" applyNumberFormat="1" applyFont="1" applyFill="1" applyBorder="1" applyAlignment="1">
      <alignment horizontal="center" vertical="center" shrinkToFit="1"/>
      <protection/>
    </xf>
    <xf numFmtId="0" fontId="14" fillId="33" borderId="10" xfId="42" applyFont="1" applyFill="1" applyBorder="1" applyAlignment="1">
      <alignment horizontal="center" vertical="center" wrapText="1"/>
      <protection/>
    </xf>
    <xf numFmtId="183" fontId="17" fillId="33" borderId="10" xfId="42" applyNumberFormat="1" applyFont="1" applyFill="1" applyBorder="1" applyAlignment="1">
      <alignment horizontal="center" vertical="center" wrapText="1"/>
      <protection/>
    </xf>
    <xf numFmtId="49" fontId="17" fillId="33" borderId="10" xfId="51" applyNumberFormat="1" applyFont="1" applyFill="1" applyBorder="1" applyAlignment="1">
      <alignment horizontal="center" vertical="center" wrapText="1"/>
      <protection/>
    </xf>
    <xf numFmtId="0" fontId="17" fillId="33" borderId="10" xfId="51" applyFont="1" applyFill="1" applyBorder="1" applyAlignment="1">
      <alignment horizontal="center" vertical="center" wrapText="1"/>
      <protection/>
    </xf>
    <xf numFmtId="183" fontId="14" fillId="33" borderId="10" xfId="40" applyNumberFormat="1" applyFont="1" applyFill="1" applyBorder="1" applyAlignment="1">
      <alignment horizontal="center" vertical="center"/>
      <protection/>
    </xf>
    <xf numFmtId="10" fontId="14" fillId="33" borderId="10" xfId="43" applyNumberFormat="1" applyFont="1" applyFill="1" applyBorder="1" applyAlignment="1">
      <alignment horizontal="center" vertical="center"/>
      <protection/>
    </xf>
    <xf numFmtId="183" fontId="14" fillId="33" borderId="10" xfId="44" applyNumberFormat="1" applyFont="1" applyFill="1" applyBorder="1" applyAlignment="1">
      <alignment horizontal="center" vertical="center"/>
      <protection/>
    </xf>
    <xf numFmtId="0" fontId="14" fillId="33" borderId="10" xfId="49" applyFont="1" applyFill="1" applyBorder="1" applyAlignment="1">
      <alignment horizontal="center" vertical="center" wrapText="1"/>
      <protection/>
    </xf>
    <xf numFmtId="183" fontId="17" fillId="33" borderId="10" xfId="49" applyNumberFormat="1" applyFont="1" applyFill="1" applyBorder="1" applyAlignment="1">
      <alignment horizontal="center" vertical="center" wrapText="1"/>
      <protection/>
    </xf>
    <xf numFmtId="0" fontId="8" fillId="33" borderId="10" xfId="40" applyFont="1" applyFill="1" applyBorder="1">
      <alignment vertical="center"/>
      <protection/>
    </xf>
    <xf numFmtId="49" fontId="20" fillId="33" borderId="10" xfId="40" applyNumberFormat="1" applyFont="1" applyFill="1" applyBorder="1" applyAlignment="1">
      <alignment horizontal="center" vertical="center"/>
      <protection/>
    </xf>
    <xf numFmtId="0" fontId="17" fillId="33" borderId="10" xfId="49" applyFont="1" applyFill="1" applyBorder="1" applyAlignment="1">
      <alignment horizontal="center" vertical="center" wrapText="1"/>
      <protection/>
    </xf>
    <xf numFmtId="0" fontId="23" fillId="33" borderId="10" xfId="40" applyFont="1" applyFill="1" applyBorder="1" applyAlignment="1">
      <alignment horizontal="center" vertical="center"/>
      <protection/>
    </xf>
    <xf numFmtId="0" fontId="14" fillId="33" borderId="10" xfId="48" applyFont="1" applyFill="1" applyBorder="1" applyAlignment="1">
      <alignment horizontal="center" vertical="center" wrapText="1"/>
      <protection/>
    </xf>
    <xf numFmtId="183" fontId="17" fillId="33" borderId="10" xfId="48" applyNumberFormat="1" applyFont="1" applyFill="1" applyBorder="1" applyAlignment="1">
      <alignment horizontal="center" vertical="center" wrapText="1"/>
      <protection/>
    </xf>
    <xf numFmtId="0" fontId="14" fillId="33" borderId="10" xfId="40" applyFont="1" applyFill="1" applyBorder="1" applyAlignment="1">
      <alignment horizontal="center"/>
      <protection/>
    </xf>
    <xf numFmtId="0" fontId="17" fillId="33" borderId="10" xfId="40" applyFont="1" applyFill="1" applyBorder="1" applyAlignment="1">
      <alignment horizontal="center" vertical="center"/>
      <protection/>
    </xf>
    <xf numFmtId="183" fontId="14" fillId="33" borderId="10" xfId="40" applyNumberFormat="1" applyFont="1" applyFill="1" applyBorder="1" applyAlignment="1">
      <alignment horizontal="center" vertical="center" wrapText="1"/>
      <protection/>
    </xf>
    <xf numFmtId="49" fontId="17" fillId="33" borderId="10" xfId="40" applyNumberFormat="1" applyFont="1" applyFill="1" applyBorder="1" applyAlignment="1">
      <alignment horizontal="center" vertical="center" wrapText="1"/>
      <protection/>
    </xf>
    <xf numFmtId="0" fontId="17" fillId="33" borderId="10" xfId="40" applyFont="1" applyFill="1" applyBorder="1" applyAlignment="1">
      <alignment horizontal="center" vertical="center" wrapText="1"/>
      <protection/>
    </xf>
    <xf numFmtId="0" fontId="14" fillId="33" borderId="10" xfId="47" applyFont="1" applyFill="1" applyBorder="1" applyAlignment="1">
      <alignment horizontal="center" vertical="center" wrapText="1"/>
      <protection/>
    </xf>
    <xf numFmtId="183" fontId="17" fillId="33" borderId="10" xfId="47" applyNumberFormat="1" applyFont="1" applyFill="1" applyBorder="1" applyAlignment="1">
      <alignment horizontal="center" vertical="center" wrapText="1"/>
      <protection/>
    </xf>
    <xf numFmtId="183" fontId="14" fillId="33" borderId="10" xfId="46" applyNumberFormat="1" applyFont="1" applyFill="1" applyBorder="1" applyAlignment="1">
      <alignment horizontal="center" vertical="center"/>
      <protection/>
    </xf>
    <xf numFmtId="183" fontId="17" fillId="33" borderId="10" xfId="40" applyNumberFormat="1" applyFont="1" applyFill="1" applyBorder="1" applyAlignment="1">
      <alignment horizontal="center" vertical="center" wrapText="1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183" fontId="17" fillId="33" borderId="10" xfId="41" applyNumberFormat="1" applyFont="1" applyFill="1" applyBorder="1" applyAlignment="1">
      <alignment horizontal="center" vertical="center" wrapText="1"/>
      <protection/>
    </xf>
    <xf numFmtId="183" fontId="24" fillId="0" borderId="10" xfId="40" applyNumberFormat="1" applyFont="1" applyFill="1" applyBorder="1" applyAlignment="1">
      <alignment horizontal="center" vertical="center" wrapText="1" shrinkToFit="1"/>
      <protection/>
    </xf>
    <xf numFmtId="183" fontId="24" fillId="0" borderId="10" xfId="40" applyNumberFormat="1" applyFont="1" applyFill="1" applyBorder="1" applyAlignment="1">
      <alignment horizontal="center" vertical="center" shrinkToFit="1"/>
      <protection/>
    </xf>
    <xf numFmtId="176" fontId="24" fillId="0" borderId="10" xfId="40" applyNumberFormat="1" applyFont="1" applyFill="1" applyBorder="1" applyAlignment="1">
      <alignment horizontal="center" vertical="center" wrapText="1" shrinkToFit="1"/>
      <protection/>
    </xf>
    <xf numFmtId="183" fontId="14" fillId="33" borderId="10" xfId="43" applyNumberFormat="1" applyFont="1" applyFill="1" applyBorder="1" applyAlignment="1">
      <alignment horizontal="center" vertical="center"/>
      <protection/>
    </xf>
    <xf numFmtId="176" fontId="14" fillId="33" borderId="10" xfId="43" applyNumberFormat="1" applyFont="1" applyFill="1" applyBorder="1" applyAlignment="1">
      <alignment horizontal="center" vertical="center"/>
      <protection/>
    </xf>
    <xf numFmtId="10" fontId="14" fillId="33" borderId="10" xfId="40" applyNumberFormat="1" applyFont="1" applyFill="1" applyBorder="1" applyAlignment="1">
      <alignment horizontal="center" vertical="center"/>
      <protection/>
    </xf>
    <xf numFmtId="10" fontId="19" fillId="33" borderId="10" xfId="40" applyNumberFormat="1" applyFont="1" applyFill="1" applyBorder="1" applyAlignment="1">
      <alignment horizontal="center" vertical="center"/>
      <protection/>
    </xf>
    <xf numFmtId="183" fontId="19" fillId="33" borderId="10" xfId="40" applyNumberFormat="1" applyFont="1" applyFill="1" applyBorder="1" applyAlignment="1">
      <alignment horizontal="center" vertical="center"/>
      <protection/>
    </xf>
    <xf numFmtId="177" fontId="19" fillId="33" borderId="10" xfId="40" applyNumberFormat="1" applyFont="1" applyFill="1" applyBorder="1" applyAlignment="1">
      <alignment horizontal="center" vertical="center"/>
      <protection/>
    </xf>
    <xf numFmtId="10" fontId="14" fillId="33" borderId="10" xfId="52" applyNumberFormat="1" applyFont="1" applyFill="1" applyBorder="1" applyAlignment="1">
      <alignment horizontal="center" vertical="center" wrapText="1"/>
      <protection/>
    </xf>
    <xf numFmtId="183" fontId="14" fillId="33" borderId="10" xfId="52" applyNumberFormat="1" applyFont="1" applyFill="1" applyBorder="1" applyAlignment="1">
      <alignment horizontal="center" vertical="center" wrapText="1"/>
      <protection/>
    </xf>
    <xf numFmtId="176" fontId="14" fillId="33" borderId="10" xfId="52" applyNumberFormat="1" applyFont="1" applyFill="1" applyBorder="1" applyAlignment="1">
      <alignment horizontal="center" vertical="center" wrapText="1"/>
      <protection/>
    </xf>
    <xf numFmtId="176" fontId="17" fillId="33" borderId="10" xfId="40" applyNumberFormat="1" applyFont="1" applyFill="1" applyBorder="1" applyAlignment="1">
      <alignment horizontal="center" vertical="center"/>
      <protection/>
    </xf>
    <xf numFmtId="10" fontId="25" fillId="0" borderId="10" xfId="40" applyNumberFormat="1" applyFont="1" applyBorder="1" applyAlignment="1">
      <alignment horizontal="justify" vertical="center"/>
      <protection/>
    </xf>
    <xf numFmtId="183" fontId="25" fillId="0" borderId="10" xfId="40" applyNumberFormat="1" applyFont="1" applyBorder="1" applyAlignment="1">
      <alignment horizontal="justify" vertical="center"/>
      <protection/>
    </xf>
    <xf numFmtId="176" fontId="25" fillId="0" borderId="10" xfId="40" applyNumberFormat="1" applyFont="1" applyBorder="1" applyAlignment="1">
      <alignment horizontal="justify" vertical="center"/>
      <protection/>
    </xf>
    <xf numFmtId="10" fontId="14" fillId="33" borderId="10" xfId="40" applyNumberFormat="1" applyFont="1" applyFill="1" applyBorder="1" applyAlignment="1">
      <alignment horizontal="center" vertical="top"/>
      <protection/>
    </xf>
    <xf numFmtId="183" fontId="14" fillId="33" borderId="10" xfId="40" applyNumberFormat="1" applyFont="1" applyFill="1" applyBorder="1" applyAlignment="1">
      <alignment horizontal="center" vertical="top"/>
      <protection/>
    </xf>
    <xf numFmtId="176" fontId="14" fillId="33" borderId="10" xfId="40" applyNumberFormat="1" applyFont="1" applyFill="1" applyBorder="1" applyAlignment="1">
      <alignment horizontal="center" vertical="top"/>
      <protection/>
    </xf>
    <xf numFmtId="176" fontId="14" fillId="33" borderId="10" xfId="40" applyNumberFormat="1" applyFont="1" applyFill="1" applyBorder="1">
      <alignment vertical="center"/>
      <protection/>
    </xf>
    <xf numFmtId="0" fontId="14" fillId="0" borderId="0" xfId="40" applyFont="1" applyAlignment="1">
      <alignment vertical="center"/>
      <protection/>
    </xf>
    <xf numFmtId="0" fontId="13" fillId="33" borderId="10" xfId="40" applyNumberFormat="1" applyFont="1" applyFill="1" applyBorder="1" applyAlignment="1">
      <alignment horizontal="center" vertical="center" wrapText="1" shrinkToFit="1"/>
      <protection/>
    </xf>
    <xf numFmtId="0" fontId="14" fillId="33" borderId="10" xfId="40" applyFont="1" applyFill="1" applyBorder="1">
      <alignment vertical="center"/>
      <protection/>
    </xf>
    <xf numFmtId="0" fontId="27" fillId="0" borderId="0" xfId="40" applyNumberFormat="1" applyFont="1" applyBorder="1" applyAlignment="1">
      <alignment horizontal="center" vertical="center" wrapText="1"/>
      <protection/>
    </xf>
    <xf numFmtId="0" fontId="27" fillId="0" borderId="0" xfId="40" applyFont="1" applyBorder="1" applyAlignment="1">
      <alignment horizontal="center" vertical="center"/>
      <protection/>
    </xf>
    <xf numFmtId="0" fontId="27" fillId="33" borderId="0" xfId="40" applyFont="1" applyFill="1" applyBorder="1" applyAlignment="1">
      <alignment horizontal="center" vertical="center"/>
      <protection/>
    </xf>
    <xf numFmtId="49" fontId="27" fillId="33" borderId="0" xfId="40" applyNumberFormat="1" applyFont="1" applyFill="1" applyBorder="1" applyAlignment="1">
      <alignment horizontal="center" vertical="center"/>
      <protection/>
    </xf>
    <xf numFmtId="183" fontId="27" fillId="33" borderId="0" xfId="40" applyNumberFormat="1" applyFont="1" applyFill="1" applyBorder="1" applyAlignment="1">
      <alignment horizontal="center" vertical="center"/>
      <protection/>
    </xf>
    <xf numFmtId="176" fontId="27" fillId="33" borderId="0" xfId="40" applyNumberFormat="1" applyFont="1" applyFill="1" applyBorder="1" applyAlignment="1">
      <alignment horizontal="center" vertical="center"/>
      <protection/>
    </xf>
    <xf numFmtId="0" fontId="14" fillId="33" borderId="10" xfId="40" applyFont="1" applyFill="1" applyBorder="1" applyAlignment="1">
      <alignment horizontal="center" vertical="center"/>
      <protection/>
    </xf>
    <xf numFmtId="49" fontId="14" fillId="33" borderId="10" xfId="40" applyNumberFormat="1" applyFont="1" applyFill="1" applyBorder="1" applyAlignment="1">
      <alignment horizontal="center" vertical="center"/>
      <protection/>
    </xf>
    <xf numFmtId="183" fontId="17" fillId="33" borderId="10" xfId="40" applyNumberFormat="1" applyFont="1" applyFill="1" applyBorder="1" applyAlignment="1">
      <alignment horizontal="center" vertical="center"/>
      <protection/>
    </xf>
    <xf numFmtId="49" fontId="17" fillId="33" borderId="10" xfId="40" applyNumberFormat="1" applyFont="1" applyFill="1" applyBorder="1" applyAlignment="1">
      <alignment horizontal="center" vertical="center"/>
      <protection/>
    </xf>
    <xf numFmtId="183" fontId="7" fillId="0" borderId="10" xfId="40" applyNumberFormat="1" applyFont="1" applyFill="1" applyBorder="1" applyAlignment="1">
      <alignment horizontal="center" vertical="center" wrapText="1"/>
      <protection/>
    </xf>
    <xf numFmtId="183" fontId="4" fillId="0" borderId="10" xfId="40" applyNumberFormat="1" applyFont="1" applyFill="1" applyBorder="1" applyAlignment="1">
      <alignment horizontal="center" vertical="center" wrapText="1"/>
      <protection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0" fontId="14" fillId="0" borderId="10" xfId="40" applyNumberFormat="1" applyFont="1" applyBorder="1" applyAlignment="1">
      <alignment horizontal="center" vertical="center" wrapText="1" shrinkToFit="1"/>
      <protection/>
    </xf>
    <xf numFmtId="176" fontId="14" fillId="33" borderId="10" xfId="40" applyNumberFormat="1" applyFont="1" applyFill="1" applyBorder="1" applyAlignment="1">
      <alignment horizontal="center" vertical="center"/>
      <protection/>
    </xf>
    <xf numFmtId="177" fontId="13" fillId="33" borderId="10" xfId="40" applyNumberFormat="1" applyFont="1" applyFill="1" applyBorder="1" applyAlignment="1">
      <alignment horizontal="center" vertical="center" wrapText="1"/>
      <protection/>
    </xf>
    <xf numFmtId="177" fontId="14" fillId="33" borderId="10" xfId="40" applyNumberFormat="1" applyFont="1" applyFill="1" applyBorder="1" applyAlignment="1">
      <alignment horizontal="center" vertical="center" wrapText="1"/>
      <protection/>
    </xf>
    <xf numFmtId="0" fontId="14" fillId="0" borderId="10" xfId="40" applyNumberFormat="1" applyFont="1" applyBorder="1" applyAlignment="1">
      <alignment horizontal="center" vertical="center" wrapText="1"/>
      <protection/>
    </xf>
    <xf numFmtId="0" fontId="13" fillId="0" borderId="10" xfId="40" applyNumberFormat="1" applyFont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center" vertical="center"/>
      <protection/>
    </xf>
    <xf numFmtId="0" fontId="14" fillId="0" borderId="1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 shrinkToFit="1"/>
      <protection/>
    </xf>
    <xf numFmtId="0" fontId="19" fillId="0" borderId="10" xfId="40" applyFont="1" applyBorder="1" applyAlignment="1">
      <alignment horizontal="center" vertical="center" shrinkToFit="1"/>
      <protection/>
    </xf>
    <xf numFmtId="0" fontId="17" fillId="33" borderId="10" xfId="40" applyNumberFormat="1" applyFont="1" applyFill="1" applyBorder="1" applyAlignment="1">
      <alignment horizontal="center" vertical="center" shrinkToFit="1"/>
      <protection/>
    </xf>
    <xf numFmtId="0" fontId="17" fillId="33" borderId="10" xfId="40" applyFont="1" applyFill="1" applyBorder="1" applyAlignment="1">
      <alignment horizontal="center" vertical="center"/>
      <protection/>
    </xf>
    <xf numFmtId="0" fontId="17" fillId="33" borderId="10" xfId="40" applyNumberFormat="1" applyFont="1" applyFill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14" fillId="0" borderId="10" xfId="40" applyFont="1" applyBorder="1" applyAlignment="1">
      <alignment horizontal="center" vertical="center" wrapText="1"/>
      <protection/>
    </xf>
    <xf numFmtId="176" fontId="14" fillId="33" borderId="10" xfId="40" applyNumberFormat="1" applyFont="1" applyFill="1" applyBorder="1" applyAlignment="1">
      <alignment horizontal="center" vertical="center" wrapText="1"/>
      <protection/>
    </xf>
    <xf numFmtId="0" fontId="1" fillId="33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center" vertical="center" wrapText="1"/>
    </xf>
    <xf numFmtId="178" fontId="13" fillId="0" borderId="11" xfId="0" applyNumberFormat="1" applyFont="1" applyFill="1" applyBorder="1" applyAlignment="1">
      <alignment horizontal="center" vertical="center" wrapText="1"/>
    </xf>
    <xf numFmtId="178" fontId="14" fillId="0" borderId="17" xfId="0" applyNumberFormat="1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 wrapText="1"/>
    </xf>
    <xf numFmtId="182" fontId="14" fillId="0" borderId="17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83" fontId="13" fillId="0" borderId="11" xfId="0" applyNumberFormat="1" applyFont="1" applyFill="1" applyBorder="1" applyAlignment="1">
      <alignment horizontal="center" vertical="center" wrapText="1"/>
    </xf>
    <xf numFmtId="183" fontId="14" fillId="0" borderId="17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2" fillId="0" borderId="10" xfId="50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8" fontId="2" fillId="0" borderId="10" xfId="50" applyNumberFormat="1" applyFont="1" applyBorder="1" applyAlignment="1">
      <alignment horizontal="center" vertical="center" wrapText="1"/>
      <protection/>
    </xf>
    <xf numFmtId="178" fontId="2" fillId="0" borderId="10" xfId="50" applyNumberFormat="1" applyFont="1" applyBorder="1" applyAlignment="1">
      <alignment horizontal="center" vertical="center"/>
      <protection/>
    </xf>
    <xf numFmtId="178" fontId="2" fillId="0" borderId="11" xfId="50" applyNumberFormat="1" applyFont="1" applyBorder="1" applyAlignment="1">
      <alignment horizontal="center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年区域试验_1" xfId="41"/>
    <cellStyle name="常规_2014年区域试验_14" xfId="42"/>
    <cellStyle name="常规_2014年区域试验_18" xfId="43"/>
    <cellStyle name="常规_2014年区域试验_19" xfId="44"/>
    <cellStyle name="常规_2014年区域试验_20" xfId="45"/>
    <cellStyle name="常规_2014年区域试验_21" xfId="46"/>
    <cellStyle name="常规_2014年区域试验_7" xfId="47"/>
    <cellStyle name="常规_2014年区域试验_8" xfId="48"/>
    <cellStyle name="常规_2014年区域试验_9" xfId="49"/>
    <cellStyle name="常规_Sheet1" xfId="50"/>
    <cellStyle name="常规_Sheet1 2" xfId="51"/>
    <cellStyle name="常规_Sheet2" xfId="52"/>
    <cellStyle name="常规_产量汇总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3" max="3" width="5.57421875" style="0" customWidth="1"/>
  </cols>
  <sheetData>
    <row r="1" spans="1:253" ht="30">
      <c r="A1" s="280" t="s">
        <v>340</v>
      </c>
      <c r="B1" s="280"/>
      <c r="C1" s="281"/>
      <c r="D1" s="281"/>
      <c r="E1" s="282"/>
      <c r="F1" s="282"/>
      <c r="G1" s="282"/>
      <c r="H1" s="283"/>
      <c r="I1" s="282"/>
      <c r="J1" s="282"/>
      <c r="K1" s="282"/>
      <c r="L1" s="282"/>
      <c r="M1" s="282"/>
      <c r="N1" s="282"/>
      <c r="O1" s="282"/>
      <c r="P1" s="282"/>
      <c r="Q1" s="282"/>
      <c r="R1" s="284"/>
      <c r="S1" s="282"/>
      <c r="T1" s="283"/>
      <c r="U1" s="282"/>
      <c r="V1" s="282"/>
      <c r="W1" s="284"/>
      <c r="X1" s="284"/>
      <c r="Y1" s="284"/>
      <c r="Z1" s="284"/>
      <c r="AA1" s="285"/>
      <c r="AB1" s="282"/>
      <c r="AC1" s="282"/>
      <c r="AD1" s="282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</row>
    <row r="2" spans="1:253" ht="15">
      <c r="A2" s="297" t="s">
        <v>223</v>
      </c>
      <c r="B2" s="293" t="s">
        <v>1</v>
      </c>
      <c r="C2" s="306" t="s">
        <v>224</v>
      </c>
      <c r="D2" s="307" t="s">
        <v>225</v>
      </c>
      <c r="E2" s="286" t="s">
        <v>17</v>
      </c>
      <c r="F2" s="286"/>
      <c r="G2" s="286"/>
      <c r="H2" s="287"/>
      <c r="I2" s="286" t="s">
        <v>226</v>
      </c>
      <c r="J2" s="286"/>
      <c r="K2" s="286"/>
      <c r="L2" s="286"/>
      <c r="M2" s="286"/>
      <c r="N2" s="286"/>
      <c r="O2" s="286"/>
      <c r="P2" s="286"/>
      <c r="Q2" s="286" t="s">
        <v>227</v>
      </c>
      <c r="R2" s="288"/>
      <c r="S2" s="286"/>
      <c r="T2" s="289"/>
      <c r="U2" s="286"/>
      <c r="V2" s="286"/>
      <c r="W2" s="290" t="s">
        <v>228</v>
      </c>
      <c r="X2" s="291"/>
      <c r="Y2" s="291"/>
      <c r="Z2" s="291"/>
      <c r="AA2" s="292"/>
      <c r="AB2" s="308" t="s">
        <v>229</v>
      </c>
      <c r="AC2" s="294" t="s">
        <v>4</v>
      </c>
      <c r="AD2" s="295" t="s">
        <v>230</v>
      </c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277"/>
    </row>
    <row r="3" spans="1:253" ht="45">
      <c r="A3" s="297"/>
      <c r="B3" s="293"/>
      <c r="C3" s="307"/>
      <c r="D3" s="307"/>
      <c r="E3" s="196" t="s">
        <v>231</v>
      </c>
      <c r="F3" s="208" t="s">
        <v>232</v>
      </c>
      <c r="G3" s="208" t="s">
        <v>233</v>
      </c>
      <c r="H3" s="209" t="s">
        <v>33</v>
      </c>
      <c r="I3" s="210" t="s">
        <v>234</v>
      </c>
      <c r="J3" s="209" t="s">
        <v>235</v>
      </c>
      <c r="K3" s="210" t="s">
        <v>236</v>
      </c>
      <c r="L3" s="208" t="s">
        <v>237</v>
      </c>
      <c r="M3" s="210" t="s">
        <v>238</v>
      </c>
      <c r="N3" s="210" t="s">
        <v>239</v>
      </c>
      <c r="O3" s="208" t="s">
        <v>240</v>
      </c>
      <c r="P3" s="208" t="s">
        <v>241</v>
      </c>
      <c r="Q3" s="228" t="s">
        <v>242</v>
      </c>
      <c r="R3" s="229" t="s">
        <v>243</v>
      </c>
      <c r="S3" s="278" t="s">
        <v>244</v>
      </c>
      <c r="T3" s="230" t="s">
        <v>245</v>
      </c>
      <c r="U3" s="208" t="s">
        <v>246</v>
      </c>
      <c r="V3" s="208" t="s">
        <v>247</v>
      </c>
      <c r="W3" s="257" t="s">
        <v>248</v>
      </c>
      <c r="X3" s="257" t="s">
        <v>249</v>
      </c>
      <c r="Y3" s="257" t="s">
        <v>250</v>
      </c>
      <c r="Z3" s="258" t="s">
        <v>13</v>
      </c>
      <c r="AA3" s="259" t="s">
        <v>251</v>
      </c>
      <c r="AB3" s="308"/>
      <c r="AC3" s="294"/>
      <c r="AD3" s="296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  <c r="HG3" s="195"/>
      <c r="HH3" s="195"/>
      <c r="HI3" s="195"/>
      <c r="HJ3" s="195"/>
      <c r="HK3" s="195"/>
      <c r="HL3" s="195"/>
      <c r="HM3" s="195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  <c r="IB3" s="195"/>
      <c r="IC3" s="195"/>
      <c r="ID3" s="195"/>
      <c r="IE3" s="195"/>
      <c r="IF3" s="195"/>
      <c r="IG3" s="195"/>
      <c r="IH3" s="195"/>
      <c r="II3" s="195"/>
      <c r="IJ3" s="195"/>
      <c r="IK3" s="195"/>
      <c r="IL3" s="195"/>
      <c r="IM3" s="195"/>
      <c r="IN3" s="195"/>
      <c r="IO3" s="195"/>
      <c r="IP3" s="195"/>
      <c r="IQ3" s="195"/>
      <c r="IR3" s="195"/>
      <c r="IS3" s="195"/>
    </row>
    <row r="4" spans="1:253" ht="30" customHeight="1">
      <c r="A4" s="297" t="s">
        <v>252</v>
      </c>
      <c r="B4" s="293" t="s">
        <v>253</v>
      </c>
      <c r="C4" s="197">
        <v>1</v>
      </c>
      <c r="D4" s="193" t="s">
        <v>254</v>
      </c>
      <c r="E4" s="198">
        <v>650.8488888888888</v>
      </c>
      <c r="F4" s="194" t="s">
        <v>255</v>
      </c>
      <c r="G4" s="194" t="s">
        <v>256</v>
      </c>
      <c r="H4" s="207">
        <v>4</v>
      </c>
      <c r="I4" s="206">
        <v>69.61538461538463</v>
      </c>
      <c r="J4" s="207">
        <v>17</v>
      </c>
      <c r="K4" s="206">
        <v>1.7</v>
      </c>
      <c r="L4" s="194">
        <v>77</v>
      </c>
      <c r="M4" s="206">
        <v>15.505</v>
      </c>
      <c r="N4" s="206">
        <v>1.8214285714285714</v>
      </c>
      <c r="O4" s="194" t="s">
        <v>257</v>
      </c>
      <c r="P4" s="194">
        <v>66</v>
      </c>
      <c r="Q4" s="194"/>
      <c r="R4" s="227"/>
      <c r="S4" s="194">
        <v>2</v>
      </c>
      <c r="T4" s="221">
        <v>3</v>
      </c>
      <c r="U4" s="194" t="s">
        <v>258</v>
      </c>
      <c r="V4" s="236">
        <v>0.0951</v>
      </c>
      <c r="W4" s="260">
        <v>19.8</v>
      </c>
      <c r="X4" s="260">
        <v>131.3</v>
      </c>
      <c r="Y4" s="260">
        <v>91.4</v>
      </c>
      <c r="Z4" s="260">
        <v>26.1</v>
      </c>
      <c r="AA4" s="261">
        <v>155</v>
      </c>
      <c r="AB4" s="206">
        <v>1.9000000000000057</v>
      </c>
      <c r="AC4" s="206">
        <v>99.53333333333335</v>
      </c>
      <c r="AD4" s="212">
        <v>1.9230769230769231</v>
      </c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277"/>
    </row>
    <row r="5" spans="1:253" ht="30">
      <c r="A5" s="297"/>
      <c r="B5" s="293"/>
      <c r="C5" s="197">
        <v>2</v>
      </c>
      <c r="D5" s="193" t="s">
        <v>259</v>
      </c>
      <c r="E5" s="199">
        <v>667.233333333333</v>
      </c>
      <c r="F5" s="199">
        <v>4.64763697197825</v>
      </c>
      <c r="G5" s="211" t="s">
        <v>260</v>
      </c>
      <c r="H5" s="211">
        <v>8</v>
      </c>
      <c r="I5" s="206">
        <v>69.3076923076923</v>
      </c>
      <c r="J5" s="212">
        <v>33</v>
      </c>
      <c r="K5" s="206">
        <v>7</v>
      </c>
      <c r="L5" s="212">
        <v>72</v>
      </c>
      <c r="M5" s="206">
        <v>17.6</v>
      </c>
      <c r="N5" s="206">
        <v>1.8</v>
      </c>
      <c r="O5" s="194" t="s">
        <v>261</v>
      </c>
      <c r="P5" s="194">
        <v>64</v>
      </c>
      <c r="Q5" s="231">
        <v>5</v>
      </c>
      <c r="R5" s="232">
        <v>4.75</v>
      </c>
      <c r="S5" s="194"/>
      <c r="T5" s="233">
        <v>5</v>
      </c>
      <c r="U5" s="234" t="s">
        <v>258</v>
      </c>
      <c r="V5" s="236">
        <v>0.035699999999999996</v>
      </c>
      <c r="W5" s="260">
        <v>22.9</v>
      </c>
      <c r="X5" s="260">
        <v>115</v>
      </c>
      <c r="Y5" s="260">
        <v>87.6</v>
      </c>
      <c r="Z5" s="260">
        <v>25.2</v>
      </c>
      <c r="AA5" s="261">
        <v>159.2</v>
      </c>
      <c r="AB5" s="206">
        <v>0.5</v>
      </c>
      <c r="AC5" s="206">
        <v>106.38</v>
      </c>
      <c r="AD5" s="212">
        <v>1.75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277"/>
    </row>
    <row r="6" spans="1:253" ht="15">
      <c r="A6" s="297"/>
      <c r="B6" s="293"/>
      <c r="C6" s="197"/>
      <c r="D6" s="193" t="s">
        <v>30</v>
      </c>
      <c r="E6" s="198">
        <v>659.0411111111109</v>
      </c>
      <c r="F6" s="194"/>
      <c r="G6" s="194"/>
      <c r="H6" s="207"/>
      <c r="I6" s="206">
        <v>69.61538461538463</v>
      </c>
      <c r="J6" s="207">
        <v>17</v>
      </c>
      <c r="K6" s="206">
        <v>1.7</v>
      </c>
      <c r="L6" s="194">
        <v>77</v>
      </c>
      <c r="M6" s="206">
        <v>15.505</v>
      </c>
      <c r="N6" s="206">
        <v>1.8214285714285714</v>
      </c>
      <c r="O6" s="194" t="s">
        <v>257</v>
      </c>
      <c r="P6" s="194">
        <v>66</v>
      </c>
      <c r="Q6" s="194"/>
      <c r="R6" s="227"/>
      <c r="S6" s="194"/>
      <c r="T6" s="233">
        <v>5</v>
      </c>
      <c r="U6" s="234" t="s">
        <v>258</v>
      </c>
      <c r="V6" s="236">
        <v>0.0951</v>
      </c>
      <c r="W6" s="260">
        <v>21.35</v>
      </c>
      <c r="X6" s="260">
        <v>123.15</v>
      </c>
      <c r="Y6" s="260">
        <v>89.5</v>
      </c>
      <c r="Z6" s="260">
        <v>25.65</v>
      </c>
      <c r="AA6" s="260">
        <v>157.1</v>
      </c>
      <c r="AB6" s="261">
        <v>1.2000000000000028</v>
      </c>
      <c r="AC6" s="212">
        <v>102.95666666666668</v>
      </c>
      <c r="AD6" s="212">
        <v>1.8365384615384617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277"/>
    </row>
    <row r="7" spans="1:253" ht="15">
      <c r="A7" s="297"/>
      <c r="B7" s="293"/>
      <c r="C7" s="197">
        <v>3</v>
      </c>
      <c r="D7" s="193" t="s">
        <v>262</v>
      </c>
      <c r="E7" s="198">
        <v>706.17768</v>
      </c>
      <c r="F7" s="198">
        <v>4.10246430969623</v>
      </c>
      <c r="G7" s="198" t="s">
        <v>260</v>
      </c>
      <c r="H7" s="207">
        <v>2</v>
      </c>
      <c r="I7" s="198">
        <v>68.57692307692307</v>
      </c>
      <c r="J7" s="198">
        <v>43.17</v>
      </c>
      <c r="K7" s="198">
        <v>5.1</v>
      </c>
      <c r="L7" s="198">
        <v>60</v>
      </c>
      <c r="M7" s="198">
        <v>14.436</v>
      </c>
      <c r="N7" s="198">
        <v>1.7</v>
      </c>
      <c r="O7" s="198" t="s">
        <v>261</v>
      </c>
      <c r="P7" s="198">
        <v>65</v>
      </c>
      <c r="Q7" s="198">
        <v>3</v>
      </c>
      <c r="R7" s="235">
        <v>2.75</v>
      </c>
      <c r="S7" s="198"/>
      <c r="T7" s="207">
        <v>5</v>
      </c>
      <c r="U7" s="198" t="s">
        <v>258</v>
      </c>
      <c r="V7" s="236">
        <v>0.24239999999999998</v>
      </c>
      <c r="W7" s="260">
        <v>22.6</v>
      </c>
      <c r="X7" s="260">
        <v>129.2</v>
      </c>
      <c r="Y7" s="260">
        <v>91.9</v>
      </c>
      <c r="Z7" s="260">
        <v>26.1</v>
      </c>
      <c r="AA7" s="261">
        <v>150</v>
      </c>
      <c r="AB7" s="261">
        <v>0.6</v>
      </c>
      <c r="AC7" s="198">
        <v>105.67</v>
      </c>
      <c r="AD7" s="198">
        <v>2</v>
      </c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277"/>
    </row>
    <row r="8" spans="1:253" ht="30" customHeight="1">
      <c r="A8" s="297" t="s">
        <v>263</v>
      </c>
      <c r="B8" s="293" t="s">
        <v>63</v>
      </c>
      <c r="C8" s="197">
        <v>1</v>
      </c>
      <c r="D8" s="193" t="s">
        <v>264</v>
      </c>
      <c r="E8" s="198">
        <v>650.62</v>
      </c>
      <c r="F8" s="194" t="s">
        <v>255</v>
      </c>
      <c r="G8" s="194" t="s">
        <v>256</v>
      </c>
      <c r="H8" s="207">
        <v>5</v>
      </c>
      <c r="I8" s="206">
        <v>64.7</v>
      </c>
      <c r="J8" s="207">
        <v>27</v>
      </c>
      <c r="K8" s="206">
        <v>2.97</v>
      </c>
      <c r="L8" s="194">
        <v>75</v>
      </c>
      <c r="M8" s="206">
        <v>15.515</v>
      </c>
      <c r="N8" s="206">
        <v>1.8214285714285714</v>
      </c>
      <c r="O8" s="194" t="s">
        <v>265</v>
      </c>
      <c r="P8" s="194">
        <v>70</v>
      </c>
      <c r="Q8" s="194"/>
      <c r="R8" s="227"/>
      <c r="S8" s="194">
        <v>3</v>
      </c>
      <c r="T8" s="221">
        <v>5</v>
      </c>
      <c r="U8" s="194" t="s">
        <v>258</v>
      </c>
      <c r="V8" s="236">
        <v>0.0851</v>
      </c>
      <c r="W8" s="260">
        <v>19.2</v>
      </c>
      <c r="X8" s="260">
        <v>133</v>
      </c>
      <c r="Y8" s="260">
        <v>88.9</v>
      </c>
      <c r="Z8" s="260">
        <v>26.5</v>
      </c>
      <c r="AA8" s="261">
        <v>153.4</v>
      </c>
      <c r="AB8" s="206">
        <v>0.34444444444446276</v>
      </c>
      <c r="AC8" s="206">
        <v>97.83333333333333</v>
      </c>
      <c r="AD8" s="212">
        <v>1.4615384615384615</v>
      </c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277"/>
    </row>
    <row r="9" spans="1:253" ht="30">
      <c r="A9" s="297"/>
      <c r="B9" s="293"/>
      <c r="C9" s="197">
        <v>2</v>
      </c>
      <c r="D9" s="193" t="s">
        <v>266</v>
      </c>
      <c r="E9" s="199">
        <v>646.133333333333</v>
      </c>
      <c r="F9" s="199">
        <v>1.33835215391049</v>
      </c>
      <c r="G9" s="211" t="s">
        <v>267</v>
      </c>
      <c r="H9" s="211">
        <v>11</v>
      </c>
      <c r="I9" s="206">
        <v>59.61538461538461</v>
      </c>
      <c r="J9" s="212">
        <v>88</v>
      </c>
      <c r="K9" s="206">
        <v>33.3</v>
      </c>
      <c r="L9" s="212">
        <v>65</v>
      </c>
      <c r="M9" s="206">
        <v>18.427</v>
      </c>
      <c r="N9" s="206">
        <v>1.8</v>
      </c>
      <c r="O9" s="194" t="s">
        <v>261</v>
      </c>
      <c r="P9" s="194">
        <v>62</v>
      </c>
      <c r="Q9" s="231">
        <v>3</v>
      </c>
      <c r="R9" s="232">
        <v>4.75</v>
      </c>
      <c r="S9" s="194"/>
      <c r="T9" s="233">
        <v>5</v>
      </c>
      <c r="U9" s="234" t="s">
        <v>258</v>
      </c>
      <c r="V9" s="236">
        <v>0.2188</v>
      </c>
      <c r="W9" s="260">
        <v>21.2</v>
      </c>
      <c r="X9" s="260">
        <v>114</v>
      </c>
      <c r="Y9" s="260">
        <v>80.2</v>
      </c>
      <c r="Z9" s="260">
        <v>26.3</v>
      </c>
      <c r="AA9" s="261">
        <v>155.9</v>
      </c>
      <c r="AB9" s="206">
        <v>-2.799999999999983</v>
      </c>
      <c r="AC9" s="206">
        <v>102.26</v>
      </c>
      <c r="AD9" s="212">
        <v>2.3333333333333335</v>
      </c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277"/>
    </row>
    <row r="10" spans="1:253" ht="15">
      <c r="A10" s="297"/>
      <c r="B10" s="293"/>
      <c r="C10" s="197"/>
      <c r="D10" s="193" t="s">
        <v>30</v>
      </c>
      <c r="E10" s="198">
        <v>648.3766666666666</v>
      </c>
      <c r="F10" s="194"/>
      <c r="G10" s="194"/>
      <c r="H10" s="207"/>
      <c r="I10" s="206">
        <v>64.7</v>
      </c>
      <c r="J10" s="207">
        <v>27</v>
      </c>
      <c r="K10" s="206">
        <v>2.97</v>
      </c>
      <c r="L10" s="194">
        <v>75</v>
      </c>
      <c r="M10" s="206">
        <v>15.515</v>
      </c>
      <c r="N10" s="206">
        <v>1.8214285714285714</v>
      </c>
      <c r="O10" s="194" t="s">
        <v>265</v>
      </c>
      <c r="P10" s="194">
        <v>70</v>
      </c>
      <c r="Q10" s="194"/>
      <c r="R10" s="227"/>
      <c r="S10" s="194"/>
      <c r="T10" s="233">
        <v>5</v>
      </c>
      <c r="U10" s="234" t="s">
        <v>258</v>
      </c>
      <c r="V10" s="236">
        <v>0.2188</v>
      </c>
      <c r="W10" s="260">
        <v>20.2</v>
      </c>
      <c r="X10" s="260">
        <v>123.5</v>
      </c>
      <c r="Y10" s="260">
        <v>84.55000000000001</v>
      </c>
      <c r="Z10" s="260">
        <v>26.4</v>
      </c>
      <c r="AA10" s="260">
        <v>154.65</v>
      </c>
      <c r="AB10" s="206">
        <v>-1.22777777777776</v>
      </c>
      <c r="AC10" s="212">
        <v>100.04666666666667</v>
      </c>
      <c r="AD10" s="212">
        <v>1.8974358974358974</v>
      </c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277"/>
    </row>
    <row r="11" spans="1:253" ht="15">
      <c r="A11" s="297"/>
      <c r="B11" s="293"/>
      <c r="C11" s="197">
        <v>3</v>
      </c>
      <c r="D11" s="193" t="s">
        <v>262</v>
      </c>
      <c r="E11" s="198">
        <v>700.8841035</v>
      </c>
      <c r="F11" s="198">
        <v>3.32210212285695</v>
      </c>
      <c r="G11" s="198" t="s">
        <v>260</v>
      </c>
      <c r="H11" s="207">
        <v>3</v>
      </c>
      <c r="I11" s="198">
        <v>66.88461538461539</v>
      </c>
      <c r="J11" s="198">
        <v>22</v>
      </c>
      <c r="K11" s="198">
        <v>3.8</v>
      </c>
      <c r="L11" s="198">
        <v>62</v>
      </c>
      <c r="M11" s="198">
        <v>15.8135</v>
      </c>
      <c r="N11" s="198">
        <v>1.8</v>
      </c>
      <c r="O11" s="194" t="s">
        <v>265</v>
      </c>
      <c r="P11" s="198">
        <v>67</v>
      </c>
      <c r="Q11" s="198">
        <v>5</v>
      </c>
      <c r="R11" s="235">
        <v>5</v>
      </c>
      <c r="S11" s="198"/>
      <c r="T11" s="207">
        <v>3</v>
      </c>
      <c r="U11" s="198" t="s">
        <v>268</v>
      </c>
      <c r="V11" s="236">
        <v>0.09380000000000001</v>
      </c>
      <c r="W11" s="260">
        <v>22.2</v>
      </c>
      <c r="X11" s="260">
        <v>125.8</v>
      </c>
      <c r="Y11" s="260">
        <v>91.9</v>
      </c>
      <c r="Z11" s="260">
        <v>26.6</v>
      </c>
      <c r="AA11" s="261">
        <v>148.1</v>
      </c>
      <c r="AB11" s="206">
        <v>-1.3000000000000114</v>
      </c>
      <c r="AC11" s="198">
        <v>101.19</v>
      </c>
      <c r="AD11" s="198">
        <v>1.8571428571428572</v>
      </c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277"/>
    </row>
    <row r="12" spans="1:253" ht="30" customHeight="1">
      <c r="A12" s="297" t="s">
        <v>269</v>
      </c>
      <c r="B12" s="293" t="s">
        <v>270</v>
      </c>
      <c r="C12" s="197">
        <v>1</v>
      </c>
      <c r="D12" s="193" t="s">
        <v>271</v>
      </c>
      <c r="E12" s="198">
        <v>646.5044444444444</v>
      </c>
      <c r="F12" s="194" t="s">
        <v>272</v>
      </c>
      <c r="G12" s="194" t="s">
        <v>273</v>
      </c>
      <c r="H12" s="207">
        <v>7</v>
      </c>
      <c r="I12" s="206">
        <v>72.38461538461539</v>
      </c>
      <c r="J12" s="207">
        <v>20</v>
      </c>
      <c r="K12" s="206">
        <v>2.8</v>
      </c>
      <c r="L12" s="194">
        <v>75</v>
      </c>
      <c r="M12" s="206">
        <v>15</v>
      </c>
      <c r="N12" s="206">
        <v>1.8214285714285714</v>
      </c>
      <c r="O12" s="194" t="s">
        <v>257</v>
      </c>
      <c r="P12" s="194">
        <v>65</v>
      </c>
      <c r="Q12" s="194"/>
      <c r="R12" s="227"/>
      <c r="S12" s="194">
        <v>3</v>
      </c>
      <c r="T12" s="221">
        <v>5</v>
      </c>
      <c r="U12" s="194" t="s">
        <v>258</v>
      </c>
      <c r="V12" s="236">
        <v>0.06</v>
      </c>
      <c r="W12" s="260">
        <v>18.6</v>
      </c>
      <c r="X12" s="260">
        <v>129.4</v>
      </c>
      <c r="Y12" s="260">
        <v>91.8</v>
      </c>
      <c r="Z12" s="260">
        <v>26.4</v>
      </c>
      <c r="AA12" s="261">
        <v>155.4</v>
      </c>
      <c r="AB12" s="206">
        <v>2.34444444444446</v>
      </c>
      <c r="AC12" s="206">
        <v>96.6</v>
      </c>
      <c r="AD12" s="212">
        <v>2.1538461538461537</v>
      </c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277"/>
    </row>
    <row r="13" spans="1:253" ht="30">
      <c r="A13" s="297"/>
      <c r="B13" s="293"/>
      <c r="C13" s="197">
        <v>2</v>
      </c>
      <c r="D13" s="193" t="s">
        <v>274</v>
      </c>
      <c r="E13" s="199">
        <v>678.066666666667</v>
      </c>
      <c r="F13" s="199">
        <v>6.34671685487243</v>
      </c>
      <c r="G13" s="211" t="s">
        <v>260</v>
      </c>
      <c r="H13" s="211">
        <v>4</v>
      </c>
      <c r="I13" s="206">
        <v>53.73076923076924</v>
      </c>
      <c r="J13" s="212">
        <v>49</v>
      </c>
      <c r="K13" s="206">
        <v>8.7</v>
      </c>
      <c r="L13" s="212">
        <v>62</v>
      </c>
      <c r="M13" s="206">
        <v>19</v>
      </c>
      <c r="N13" s="206">
        <v>1.8</v>
      </c>
      <c r="O13" s="194" t="s">
        <v>261</v>
      </c>
      <c r="P13" s="194">
        <v>66</v>
      </c>
      <c r="Q13" s="231">
        <v>3</v>
      </c>
      <c r="R13" s="232">
        <v>3.75</v>
      </c>
      <c r="S13" s="194"/>
      <c r="T13" s="233">
        <v>5</v>
      </c>
      <c r="U13" s="234" t="s">
        <v>258</v>
      </c>
      <c r="V13" s="236">
        <v>0.06</v>
      </c>
      <c r="W13" s="260">
        <v>21.6</v>
      </c>
      <c r="X13" s="260">
        <v>122.3</v>
      </c>
      <c r="Y13" s="260">
        <v>89.2</v>
      </c>
      <c r="Z13" s="260">
        <v>25.1</v>
      </c>
      <c r="AA13" s="261">
        <v>159.9</v>
      </c>
      <c r="AB13" s="206">
        <v>1.200000000000017</v>
      </c>
      <c r="AC13" s="206">
        <v>101.13</v>
      </c>
      <c r="AD13" s="212">
        <v>1.75</v>
      </c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277"/>
    </row>
    <row r="14" spans="1:253" ht="15">
      <c r="A14" s="297"/>
      <c r="B14" s="293"/>
      <c r="C14" s="197"/>
      <c r="D14" s="193" t="s">
        <v>30</v>
      </c>
      <c r="E14" s="198">
        <v>662.2855555555557</v>
      </c>
      <c r="F14" s="194"/>
      <c r="G14" s="194"/>
      <c r="H14" s="207"/>
      <c r="I14" s="206">
        <v>72.38461538461539</v>
      </c>
      <c r="J14" s="207">
        <v>20</v>
      </c>
      <c r="K14" s="206">
        <v>2.8</v>
      </c>
      <c r="L14" s="194">
        <v>75</v>
      </c>
      <c r="M14" s="206">
        <v>15</v>
      </c>
      <c r="N14" s="206">
        <v>1.8214285714285714</v>
      </c>
      <c r="O14" s="194" t="s">
        <v>257</v>
      </c>
      <c r="P14" s="194">
        <v>65</v>
      </c>
      <c r="Q14" s="194"/>
      <c r="R14" s="227"/>
      <c r="S14" s="194"/>
      <c r="T14" s="233">
        <v>5</v>
      </c>
      <c r="U14" s="234" t="s">
        <v>258</v>
      </c>
      <c r="V14" s="236">
        <v>0.06</v>
      </c>
      <c r="W14" s="260">
        <v>20.1</v>
      </c>
      <c r="X14" s="260">
        <v>125.85</v>
      </c>
      <c r="Y14" s="260">
        <v>90.5</v>
      </c>
      <c r="Z14" s="260">
        <v>25.75</v>
      </c>
      <c r="AA14" s="260">
        <v>157.65</v>
      </c>
      <c r="AB14" s="206">
        <v>1.7722222222222386</v>
      </c>
      <c r="AC14" s="212">
        <v>98.865</v>
      </c>
      <c r="AD14" s="212">
        <v>1.9519230769230769</v>
      </c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277"/>
    </row>
    <row r="15" spans="1:253" ht="15">
      <c r="A15" s="297"/>
      <c r="B15" s="293"/>
      <c r="C15" s="197">
        <v>3</v>
      </c>
      <c r="D15" s="193" t="s">
        <v>262</v>
      </c>
      <c r="E15" s="198">
        <v>714.071086</v>
      </c>
      <c r="F15" s="198">
        <v>5.26608508060046</v>
      </c>
      <c r="G15" s="198" t="s">
        <v>275</v>
      </c>
      <c r="H15" s="207">
        <v>1</v>
      </c>
      <c r="I15" s="198">
        <v>66.8076923076923</v>
      </c>
      <c r="J15" s="198">
        <v>46.27</v>
      </c>
      <c r="K15" s="198">
        <v>6.7</v>
      </c>
      <c r="L15" s="198">
        <v>60</v>
      </c>
      <c r="M15" s="198">
        <v>16.259</v>
      </c>
      <c r="N15" s="198">
        <v>1.7</v>
      </c>
      <c r="O15" s="198" t="s">
        <v>261</v>
      </c>
      <c r="P15" s="198">
        <v>66</v>
      </c>
      <c r="Q15" s="198">
        <v>3</v>
      </c>
      <c r="R15" s="235">
        <v>4</v>
      </c>
      <c r="S15" s="198"/>
      <c r="T15" s="207">
        <v>3</v>
      </c>
      <c r="U15" s="198" t="s">
        <v>268</v>
      </c>
      <c r="V15" s="236">
        <v>0.2286</v>
      </c>
      <c r="W15" s="260">
        <v>22.4</v>
      </c>
      <c r="X15" s="260">
        <v>126.5</v>
      </c>
      <c r="Y15" s="260">
        <v>92.7</v>
      </c>
      <c r="Z15" s="260">
        <v>27</v>
      </c>
      <c r="AA15" s="261">
        <v>149.9</v>
      </c>
      <c r="AB15" s="198">
        <v>0.5</v>
      </c>
      <c r="AC15" s="198">
        <v>102.48</v>
      </c>
      <c r="AD15" s="198">
        <v>1.7142857142857142</v>
      </c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  <c r="IN15" s="192"/>
      <c r="IO15" s="192"/>
      <c r="IP15" s="192"/>
      <c r="IQ15" s="192"/>
      <c r="IR15" s="192"/>
      <c r="IS15" s="277"/>
    </row>
    <row r="16" spans="1:253" ht="15">
      <c r="A16" s="300" t="s">
        <v>276</v>
      </c>
      <c r="B16" s="297"/>
      <c r="C16" s="197"/>
      <c r="D16" s="193" t="s">
        <v>277</v>
      </c>
      <c r="E16" s="198">
        <v>621.6844444444445</v>
      </c>
      <c r="F16" s="194"/>
      <c r="G16" s="194"/>
      <c r="H16" s="207">
        <v>11</v>
      </c>
      <c r="I16" s="206">
        <v>71.61538461538461</v>
      </c>
      <c r="J16" s="207">
        <v>35</v>
      </c>
      <c r="K16" s="206">
        <v>5.25</v>
      </c>
      <c r="L16" s="194">
        <v>80</v>
      </c>
      <c r="M16" s="206">
        <v>15.043</v>
      </c>
      <c r="N16" s="206">
        <v>1.7857142857142858</v>
      </c>
      <c r="O16" s="194" t="s">
        <v>261</v>
      </c>
      <c r="P16" s="194">
        <v>65</v>
      </c>
      <c r="Q16" s="194"/>
      <c r="R16" s="227"/>
      <c r="S16" s="194">
        <v>4</v>
      </c>
      <c r="T16" s="221">
        <v>3</v>
      </c>
      <c r="U16" s="236" t="s">
        <v>258</v>
      </c>
      <c r="V16" s="236">
        <v>0.0842</v>
      </c>
      <c r="W16" s="260"/>
      <c r="X16" s="260"/>
      <c r="Y16" s="260"/>
      <c r="Z16" s="260"/>
      <c r="AA16" s="261"/>
      <c r="AB16" s="206"/>
      <c r="AC16" s="206">
        <v>95.48888888888888</v>
      </c>
      <c r="AD16" s="212">
        <v>2</v>
      </c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277"/>
    </row>
    <row r="17" spans="1:253" ht="15">
      <c r="A17" s="300" t="s">
        <v>278</v>
      </c>
      <c r="B17" s="297"/>
      <c r="C17" s="197"/>
      <c r="D17" s="193" t="s">
        <v>279</v>
      </c>
      <c r="E17" s="199">
        <v>637.583333333333</v>
      </c>
      <c r="F17" s="199">
        <v>-0.00261396905062189</v>
      </c>
      <c r="G17" s="213"/>
      <c r="H17" s="211">
        <v>13</v>
      </c>
      <c r="I17" s="206">
        <v>55.11538461538461</v>
      </c>
      <c r="J17" s="212">
        <v>44</v>
      </c>
      <c r="K17" s="206">
        <v>10.6</v>
      </c>
      <c r="L17" s="212">
        <v>45</v>
      </c>
      <c r="M17" s="206">
        <v>20.5045</v>
      </c>
      <c r="N17" s="206">
        <v>1.8</v>
      </c>
      <c r="O17" s="194" t="s">
        <v>261</v>
      </c>
      <c r="P17" s="194">
        <v>66</v>
      </c>
      <c r="Q17" s="231">
        <v>7</v>
      </c>
      <c r="R17" s="232">
        <v>7.5</v>
      </c>
      <c r="S17" s="223"/>
      <c r="T17" s="233">
        <v>5</v>
      </c>
      <c r="U17" s="234" t="s">
        <v>258</v>
      </c>
      <c r="V17" s="236">
        <v>0.0323</v>
      </c>
      <c r="W17" s="260"/>
      <c r="X17" s="260"/>
      <c r="Y17" s="260"/>
      <c r="Z17" s="260"/>
      <c r="AA17" s="261"/>
      <c r="AB17" s="206"/>
      <c r="AC17" s="206">
        <v>102.46</v>
      </c>
      <c r="AD17" s="212">
        <v>2.0833333333333335</v>
      </c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277"/>
    </row>
    <row r="18" spans="1:253" ht="15">
      <c r="A18" s="300"/>
      <c r="B18" s="297"/>
      <c r="C18" s="197"/>
      <c r="D18" s="193" t="s">
        <v>262</v>
      </c>
      <c r="E18" s="199">
        <v>678.348668</v>
      </c>
      <c r="F18" s="199"/>
      <c r="G18" s="199"/>
      <c r="H18" s="211">
        <v>4</v>
      </c>
      <c r="I18" s="199">
        <v>67.46153846153847</v>
      </c>
      <c r="J18" s="199">
        <v>46.05</v>
      </c>
      <c r="K18" s="199">
        <v>6.2</v>
      </c>
      <c r="L18" s="199">
        <v>68</v>
      </c>
      <c r="M18" s="199">
        <v>15.1985</v>
      </c>
      <c r="N18" s="199">
        <v>1.7</v>
      </c>
      <c r="O18" s="199" t="s">
        <v>261</v>
      </c>
      <c r="P18" s="199">
        <v>66</v>
      </c>
      <c r="Q18" s="199">
        <v>5</v>
      </c>
      <c r="R18" s="237">
        <v>5.5</v>
      </c>
      <c r="S18" s="199"/>
      <c r="T18" s="211">
        <v>5</v>
      </c>
      <c r="U18" s="199" t="s">
        <v>268</v>
      </c>
      <c r="V18" s="236">
        <v>0.0882</v>
      </c>
      <c r="W18" s="260"/>
      <c r="X18" s="260"/>
      <c r="Y18" s="260"/>
      <c r="Z18" s="260"/>
      <c r="AA18" s="261"/>
      <c r="AB18" s="199">
        <v>149.4</v>
      </c>
      <c r="AC18" s="199">
        <v>102.77</v>
      </c>
      <c r="AD18" s="276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277"/>
    </row>
    <row r="19" spans="1:253" ht="30" customHeight="1">
      <c r="A19" s="297" t="s">
        <v>280</v>
      </c>
      <c r="B19" s="293" t="s">
        <v>96</v>
      </c>
      <c r="C19" s="197">
        <v>1</v>
      </c>
      <c r="D19" s="193" t="s">
        <v>281</v>
      </c>
      <c r="E19" s="198">
        <v>682.8166666666667</v>
      </c>
      <c r="F19" s="194" t="s">
        <v>282</v>
      </c>
      <c r="G19" s="194" t="s">
        <v>256</v>
      </c>
      <c r="H19" s="207">
        <v>2</v>
      </c>
      <c r="I19" s="206">
        <v>68.42307692307692</v>
      </c>
      <c r="J19" s="207">
        <v>27</v>
      </c>
      <c r="K19" s="206">
        <v>2.97</v>
      </c>
      <c r="L19" s="194">
        <v>72</v>
      </c>
      <c r="M19" s="206">
        <v>15.556000000000001</v>
      </c>
      <c r="N19" s="206">
        <v>1.892857142857143</v>
      </c>
      <c r="O19" s="194" t="s">
        <v>265</v>
      </c>
      <c r="P19" s="194">
        <v>71</v>
      </c>
      <c r="Q19" s="194"/>
      <c r="R19" s="227"/>
      <c r="S19" s="194">
        <v>3</v>
      </c>
      <c r="T19" s="221">
        <v>3</v>
      </c>
      <c r="U19" s="194" t="s">
        <v>258</v>
      </c>
      <c r="V19" s="262">
        <v>0.0943</v>
      </c>
      <c r="W19" s="235">
        <v>20.4</v>
      </c>
      <c r="X19" s="235">
        <v>134</v>
      </c>
      <c r="Y19" s="235">
        <v>89.3</v>
      </c>
      <c r="Z19" s="235">
        <v>25.4</v>
      </c>
      <c r="AA19" s="206">
        <v>153</v>
      </c>
      <c r="AB19" s="206">
        <v>0.19999999999998863</v>
      </c>
      <c r="AC19" s="206">
        <v>96.83333333333333</v>
      </c>
      <c r="AD19" s="212">
        <v>1</v>
      </c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277"/>
    </row>
    <row r="20" spans="1:253" ht="30">
      <c r="A20" s="297"/>
      <c r="B20" s="293"/>
      <c r="C20" s="197">
        <v>2</v>
      </c>
      <c r="D20" s="193" t="s">
        <v>283</v>
      </c>
      <c r="E20" s="194">
        <v>651</v>
      </c>
      <c r="F20" s="194">
        <v>4.37</v>
      </c>
      <c r="G20" s="207" t="s">
        <v>284</v>
      </c>
      <c r="H20" s="207">
        <v>2</v>
      </c>
      <c r="I20" s="206">
        <v>65.34615384615384</v>
      </c>
      <c r="J20" s="212">
        <v>19</v>
      </c>
      <c r="K20" s="206">
        <v>2.1</v>
      </c>
      <c r="L20" s="212">
        <v>69</v>
      </c>
      <c r="M20" s="206">
        <v>17.7835</v>
      </c>
      <c r="N20" s="206">
        <v>1.7</v>
      </c>
      <c r="O20" s="194" t="s">
        <v>265</v>
      </c>
      <c r="P20" s="194">
        <v>60</v>
      </c>
      <c r="Q20" s="238">
        <v>5</v>
      </c>
      <c r="R20" s="239">
        <v>5</v>
      </c>
      <c r="S20" s="194"/>
      <c r="T20" s="221">
        <v>7</v>
      </c>
      <c r="U20" s="194" t="s">
        <v>258</v>
      </c>
      <c r="V20" s="262">
        <v>0.3043</v>
      </c>
      <c r="W20" s="235">
        <v>20.2</v>
      </c>
      <c r="X20" s="235">
        <v>134.4</v>
      </c>
      <c r="Y20" s="235">
        <v>91.9</v>
      </c>
      <c r="Z20" s="235">
        <v>26.1</v>
      </c>
      <c r="AA20" s="206">
        <v>160.7</v>
      </c>
      <c r="AB20" s="206">
        <v>-0.20000000000001705</v>
      </c>
      <c r="AC20" s="206">
        <v>98.645</v>
      </c>
      <c r="AD20" s="212">
        <v>1.4</v>
      </c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277"/>
    </row>
    <row r="21" spans="1:253" ht="15">
      <c r="A21" s="297"/>
      <c r="B21" s="293"/>
      <c r="C21" s="197"/>
      <c r="D21" s="193" t="s">
        <v>30</v>
      </c>
      <c r="E21" s="198">
        <v>666.9083333333333</v>
      </c>
      <c r="F21" s="194"/>
      <c r="G21" s="194"/>
      <c r="H21" s="207"/>
      <c r="I21" s="206">
        <v>65.34615384615384</v>
      </c>
      <c r="J21" s="212">
        <v>19</v>
      </c>
      <c r="K21" s="206">
        <v>2.1</v>
      </c>
      <c r="L21" s="212">
        <v>69</v>
      </c>
      <c r="M21" s="206">
        <v>17.7835</v>
      </c>
      <c r="N21" s="206">
        <v>1.7</v>
      </c>
      <c r="O21" s="194" t="s">
        <v>265</v>
      </c>
      <c r="P21" s="194">
        <v>60</v>
      </c>
      <c r="Q21" s="194"/>
      <c r="R21" s="227"/>
      <c r="S21" s="194"/>
      <c r="T21" s="221">
        <v>7</v>
      </c>
      <c r="U21" s="194" t="s">
        <v>258</v>
      </c>
      <c r="V21" s="262">
        <v>0.3043</v>
      </c>
      <c r="W21" s="235">
        <v>20.299999999999997</v>
      </c>
      <c r="X21" s="235">
        <v>134.2</v>
      </c>
      <c r="Y21" s="235">
        <v>90.6</v>
      </c>
      <c r="Z21" s="235">
        <v>25.75</v>
      </c>
      <c r="AA21" s="235">
        <v>156.85</v>
      </c>
      <c r="AB21" s="206">
        <v>-0.20000000000001705</v>
      </c>
      <c r="AC21" s="206">
        <v>97.73916666666666</v>
      </c>
      <c r="AD21" s="212">
        <v>1.2</v>
      </c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277"/>
    </row>
    <row r="22" spans="1:253" ht="15">
      <c r="A22" s="297"/>
      <c r="B22" s="293"/>
      <c r="C22" s="197">
        <v>3</v>
      </c>
      <c r="D22" s="193" t="s">
        <v>262</v>
      </c>
      <c r="E22" s="194">
        <v>695.11375</v>
      </c>
      <c r="F22" s="194">
        <v>7.14</v>
      </c>
      <c r="G22" s="194" t="s">
        <v>285</v>
      </c>
      <c r="H22" s="207">
        <v>1</v>
      </c>
      <c r="I22" s="194">
        <v>71.46153846153845</v>
      </c>
      <c r="J22" s="194">
        <v>33</v>
      </c>
      <c r="K22" s="194">
        <v>5.2</v>
      </c>
      <c r="L22" s="194">
        <v>55</v>
      </c>
      <c r="M22" s="194">
        <v>15.8965</v>
      </c>
      <c r="N22" s="194">
        <v>1.7</v>
      </c>
      <c r="O22" s="194" t="s">
        <v>261</v>
      </c>
      <c r="P22" s="194">
        <v>66</v>
      </c>
      <c r="Q22" s="194">
        <v>5</v>
      </c>
      <c r="R22" s="235">
        <v>5</v>
      </c>
      <c r="S22" s="194"/>
      <c r="T22" s="207">
        <v>3</v>
      </c>
      <c r="U22" s="194" t="s">
        <v>268</v>
      </c>
      <c r="V22" s="262">
        <v>0.2059</v>
      </c>
      <c r="W22" s="235">
        <v>21</v>
      </c>
      <c r="X22" s="235">
        <v>139.4</v>
      </c>
      <c r="Y22" s="235">
        <v>94.1</v>
      </c>
      <c r="Z22" s="235">
        <v>27.4</v>
      </c>
      <c r="AA22" s="206">
        <v>155.4</v>
      </c>
      <c r="AB22" s="194">
        <v>0.4</v>
      </c>
      <c r="AC22" s="194">
        <v>96.9</v>
      </c>
      <c r="AD22" s="194">
        <v>1.7</v>
      </c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277"/>
    </row>
    <row r="23" spans="1:253" ht="30" customHeight="1">
      <c r="A23" s="297" t="s">
        <v>286</v>
      </c>
      <c r="B23" s="293" t="s">
        <v>287</v>
      </c>
      <c r="C23" s="197">
        <v>1</v>
      </c>
      <c r="D23" s="193" t="s">
        <v>288</v>
      </c>
      <c r="E23" s="198">
        <v>662.6466666666666</v>
      </c>
      <c r="F23" s="194" t="s">
        <v>289</v>
      </c>
      <c r="G23" s="194" t="s">
        <v>256</v>
      </c>
      <c r="H23" s="207">
        <v>5</v>
      </c>
      <c r="I23" s="206">
        <v>72.11538461538461</v>
      </c>
      <c r="J23" s="194">
        <v>47</v>
      </c>
      <c r="K23" s="206">
        <v>3.76</v>
      </c>
      <c r="L23" s="194">
        <v>76</v>
      </c>
      <c r="M23" s="206">
        <v>16.421</v>
      </c>
      <c r="N23" s="206">
        <v>1.793103448275862</v>
      </c>
      <c r="O23" s="194" t="s">
        <v>261</v>
      </c>
      <c r="P23" s="194">
        <v>66</v>
      </c>
      <c r="Q23" s="194"/>
      <c r="R23" s="227"/>
      <c r="S23" s="194">
        <v>3</v>
      </c>
      <c r="T23" s="221">
        <v>3</v>
      </c>
      <c r="U23" s="194" t="s">
        <v>258</v>
      </c>
      <c r="V23" s="262">
        <v>0.1143</v>
      </c>
      <c r="W23" s="235">
        <v>21.9</v>
      </c>
      <c r="X23" s="235">
        <v>114.7</v>
      </c>
      <c r="Y23" s="235">
        <v>94.1</v>
      </c>
      <c r="Z23" s="235">
        <v>27.4</v>
      </c>
      <c r="AA23" s="206">
        <v>151.4</v>
      </c>
      <c r="AB23" s="206">
        <v>-1</v>
      </c>
      <c r="AC23" s="206">
        <v>93.65555555555557</v>
      </c>
      <c r="AD23" s="212">
        <v>1.9</v>
      </c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277"/>
    </row>
    <row r="24" spans="1:253" ht="30">
      <c r="A24" s="297"/>
      <c r="B24" s="293"/>
      <c r="C24" s="197">
        <v>2</v>
      </c>
      <c r="D24" s="193" t="s">
        <v>290</v>
      </c>
      <c r="E24" s="194">
        <v>626</v>
      </c>
      <c r="F24" s="194">
        <v>0.35</v>
      </c>
      <c r="G24" s="207" t="s">
        <v>291</v>
      </c>
      <c r="H24" s="207">
        <v>7</v>
      </c>
      <c r="I24" s="206">
        <v>68.53846153846153</v>
      </c>
      <c r="J24" s="212">
        <v>31</v>
      </c>
      <c r="K24" s="206">
        <v>5.1</v>
      </c>
      <c r="L24" s="212">
        <v>53</v>
      </c>
      <c r="M24" s="206">
        <v>19.194000000000003</v>
      </c>
      <c r="N24" s="206">
        <v>1.7</v>
      </c>
      <c r="O24" s="194" t="s">
        <v>261</v>
      </c>
      <c r="P24" s="194">
        <v>61</v>
      </c>
      <c r="Q24" s="238">
        <v>5</v>
      </c>
      <c r="R24" s="239">
        <v>5</v>
      </c>
      <c r="S24" s="194"/>
      <c r="T24" s="221">
        <v>5</v>
      </c>
      <c r="U24" s="194" t="s">
        <v>292</v>
      </c>
      <c r="V24" s="262">
        <v>0.129</v>
      </c>
      <c r="W24" s="235">
        <v>23.1</v>
      </c>
      <c r="X24" s="235">
        <v>110</v>
      </c>
      <c r="Y24" s="235">
        <v>92.9</v>
      </c>
      <c r="Z24" s="235">
        <v>26.6</v>
      </c>
      <c r="AA24" s="206">
        <v>158.9</v>
      </c>
      <c r="AB24" s="206">
        <v>-2</v>
      </c>
      <c r="AC24" s="206">
        <v>104.945</v>
      </c>
      <c r="AD24" s="212">
        <v>2</v>
      </c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277"/>
    </row>
    <row r="25" spans="1:253" ht="15">
      <c r="A25" s="297"/>
      <c r="B25" s="293"/>
      <c r="C25" s="197"/>
      <c r="D25" s="193" t="s">
        <v>30</v>
      </c>
      <c r="E25" s="198">
        <v>644.3233333333333</v>
      </c>
      <c r="F25" s="194"/>
      <c r="G25" s="194"/>
      <c r="H25" s="207"/>
      <c r="I25" s="206">
        <v>68.53846153846153</v>
      </c>
      <c r="J25" s="212">
        <v>31</v>
      </c>
      <c r="K25" s="206">
        <v>5.1</v>
      </c>
      <c r="L25" s="212">
        <v>53</v>
      </c>
      <c r="M25" s="206">
        <v>19.194000000000003</v>
      </c>
      <c r="N25" s="206">
        <v>1.7</v>
      </c>
      <c r="O25" s="194" t="s">
        <v>261</v>
      </c>
      <c r="P25" s="194">
        <v>61</v>
      </c>
      <c r="Q25" s="194"/>
      <c r="R25" s="227"/>
      <c r="S25" s="194"/>
      <c r="T25" s="221">
        <v>5</v>
      </c>
      <c r="U25" s="194" t="s">
        <v>292</v>
      </c>
      <c r="V25" s="262">
        <v>0.129</v>
      </c>
      <c r="W25" s="235">
        <v>22.5</v>
      </c>
      <c r="X25" s="235">
        <v>112.35</v>
      </c>
      <c r="Y25" s="235">
        <v>93.5</v>
      </c>
      <c r="Z25" s="235">
        <v>27</v>
      </c>
      <c r="AA25" s="235">
        <v>155.15</v>
      </c>
      <c r="AB25" s="206">
        <v>-1.5</v>
      </c>
      <c r="AC25" s="212">
        <v>99.30027777777778</v>
      </c>
      <c r="AD25" s="212">
        <v>1.95</v>
      </c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277"/>
    </row>
    <row r="26" spans="1:253" ht="15">
      <c r="A26" s="297"/>
      <c r="B26" s="293"/>
      <c r="C26" s="197">
        <v>3</v>
      </c>
      <c r="D26" s="193" t="s">
        <v>262</v>
      </c>
      <c r="E26" s="198">
        <v>677.54625</v>
      </c>
      <c r="F26" s="198">
        <v>4.44</v>
      </c>
      <c r="G26" s="198" t="s">
        <v>285</v>
      </c>
      <c r="H26" s="207">
        <v>2</v>
      </c>
      <c r="I26" s="198">
        <v>76.34615384615385</v>
      </c>
      <c r="J26" s="198">
        <v>17</v>
      </c>
      <c r="K26" s="198">
        <v>4.6</v>
      </c>
      <c r="L26" s="198">
        <v>70</v>
      </c>
      <c r="M26" s="198">
        <v>13.907</v>
      </c>
      <c r="N26" s="198">
        <v>1.6</v>
      </c>
      <c r="O26" s="198" t="s">
        <v>261</v>
      </c>
      <c r="P26" s="198">
        <v>65</v>
      </c>
      <c r="Q26" s="198">
        <v>5</v>
      </c>
      <c r="R26" s="235">
        <v>4.75</v>
      </c>
      <c r="S26" s="198"/>
      <c r="T26" s="207">
        <v>3</v>
      </c>
      <c r="U26" s="198" t="s">
        <v>258</v>
      </c>
      <c r="V26" s="262">
        <v>0.1351</v>
      </c>
      <c r="W26" s="235">
        <v>22.3</v>
      </c>
      <c r="X26" s="235">
        <v>117.1</v>
      </c>
      <c r="Y26" s="235">
        <v>94.8</v>
      </c>
      <c r="Z26" s="235">
        <v>28</v>
      </c>
      <c r="AA26" s="206">
        <v>153</v>
      </c>
      <c r="AB26" s="206">
        <v>-2</v>
      </c>
      <c r="AC26" s="198">
        <v>97.7625</v>
      </c>
      <c r="AD26" s="198">
        <v>1.8</v>
      </c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277"/>
    </row>
    <row r="27" spans="1:253" ht="25.5">
      <c r="A27" s="301" t="s">
        <v>293</v>
      </c>
      <c r="B27" s="301"/>
      <c r="C27" s="197">
        <v>1</v>
      </c>
      <c r="D27" s="200" t="s">
        <v>34</v>
      </c>
      <c r="E27" s="201">
        <v>626.0688888888889</v>
      </c>
      <c r="F27" s="214"/>
      <c r="G27" s="214"/>
      <c r="H27" s="214"/>
      <c r="I27" s="215">
        <v>70.84615384615385</v>
      </c>
      <c r="J27" s="216">
        <v>29</v>
      </c>
      <c r="K27" s="215">
        <v>2.9</v>
      </c>
      <c r="L27" s="214">
        <v>80</v>
      </c>
      <c r="M27" s="215">
        <v>15.6</v>
      </c>
      <c r="N27" s="215">
        <v>1.8275862068965518</v>
      </c>
      <c r="O27" s="214" t="s">
        <v>294</v>
      </c>
      <c r="P27" s="214">
        <v>67</v>
      </c>
      <c r="Q27" s="214">
        <v>4</v>
      </c>
      <c r="R27" s="240"/>
      <c r="S27" s="240"/>
      <c r="T27" s="241">
        <v>5</v>
      </c>
      <c r="U27" s="214" t="s">
        <v>258</v>
      </c>
      <c r="V27" s="263"/>
      <c r="W27" s="264"/>
      <c r="X27" s="264"/>
      <c r="Y27" s="264"/>
      <c r="Z27" s="264"/>
      <c r="AA27" s="215"/>
      <c r="AB27" s="265"/>
      <c r="AC27" s="215">
        <v>104.035</v>
      </c>
      <c r="AD27" s="265">
        <v>1.7</v>
      </c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277"/>
    </row>
    <row r="28" spans="1:253" ht="15.75">
      <c r="A28" s="302" t="s">
        <v>295</v>
      </c>
      <c r="B28" s="302"/>
      <c r="C28" s="197">
        <v>1</v>
      </c>
      <c r="D28" s="200" t="s">
        <v>34</v>
      </c>
      <c r="E28" s="201">
        <v>615.755555555556</v>
      </c>
      <c r="F28" s="214"/>
      <c r="G28" s="214"/>
      <c r="H28" s="214"/>
      <c r="I28" s="215">
        <v>67.42307692307693</v>
      </c>
      <c r="J28" s="216">
        <v>41</v>
      </c>
      <c r="K28" s="215">
        <v>3.69</v>
      </c>
      <c r="L28" s="214">
        <v>70</v>
      </c>
      <c r="M28" s="215">
        <v>17.191</v>
      </c>
      <c r="N28" s="215">
        <v>2.035714285714286</v>
      </c>
      <c r="O28" s="214" t="s">
        <v>261</v>
      </c>
      <c r="P28" s="214">
        <v>69</v>
      </c>
      <c r="Q28" s="214">
        <v>4</v>
      </c>
      <c r="R28" s="240"/>
      <c r="S28" s="240"/>
      <c r="T28" s="216">
        <v>5</v>
      </c>
      <c r="U28" s="214" t="s">
        <v>258</v>
      </c>
      <c r="V28" s="214"/>
      <c r="W28" s="264"/>
      <c r="X28" s="264"/>
      <c r="Y28" s="264"/>
      <c r="Z28" s="264"/>
      <c r="AA28" s="215"/>
      <c r="AB28" s="240"/>
      <c r="AC28" s="215">
        <v>94.92222222222223</v>
      </c>
      <c r="AD28" s="215">
        <v>1.9</v>
      </c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277"/>
    </row>
    <row r="29" spans="1:253" ht="15">
      <c r="A29" s="303" t="s">
        <v>296</v>
      </c>
      <c r="B29" s="303"/>
      <c r="C29" s="197">
        <v>2</v>
      </c>
      <c r="D29" s="193" t="s">
        <v>297</v>
      </c>
      <c r="E29" s="198">
        <v>539.5</v>
      </c>
      <c r="F29" s="198"/>
      <c r="G29" s="198"/>
      <c r="H29" s="207"/>
      <c r="I29" s="206">
        <v>69.3076923076923</v>
      </c>
      <c r="J29" s="212">
        <v>28</v>
      </c>
      <c r="K29" s="206">
        <v>5.8</v>
      </c>
      <c r="L29" s="212">
        <v>75</v>
      </c>
      <c r="M29" s="206">
        <v>16.8</v>
      </c>
      <c r="N29" s="206">
        <v>1.5</v>
      </c>
      <c r="O29" s="194" t="s">
        <v>261</v>
      </c>
      <c r="P29" s="194">
        <v>62</v>
      </c>
      <c r="Q29" s="238">
        <v>7</v>
      </c>
      <c r="R29" s="242">
        <v>6.5</v>
      </c>
      <c r="S29" s="243"/>
      <c r="T29" s="241">
        <v>5</v>
      </c>
      <c r="U29" s="214" t="s">
        <v>258</v>
      </c>
      <c r="V29" s="263">
        <v>0.3333</v>
      </c>
      <c r="W29" s="264"/>
      <c r="X29" s="264"/>
      <c r="Y29" s="264"/>
      <c r="Z29" s="264"/>
      <c r="AA29" s="215"/>
      <c r="AB29" s="265"/>
      <c r="AC29" s="215">
        <v>104.035</v>
      </c>
      <c r="AD29" s="265">
        <v>1.7</v>
      </c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277"/>
    </row>
    <row r="30" spans="1:253" ht="30" customHeight="1">
      <c r="A30" s="297" t="s">
        <v>298</v>
      </c>
      <c r="B30" s="293" t="s">
        <v>299</v>
      </c>
      <c r="C30" s="197">
        <v>1</v>
      </c>
      <c r="D30" s="193" t="s">
        <v>300</v>
      </c>
      <c r="E30" s="198">
        <v>677.2222222222222</v>
      </c>
      <c r="F30" s="194">
        <v>5.4</v>
      </c>
      <c r="G30" s="194" t="s">
        <v>301</v>
      </c>
      <c r="H30" s="207">
        <v>2</v>
      </c>
      <c r="I30" s="206">
        <v>67.8076923076923</v>
      </c>
      <c r="J30" s="207">
        <v>15</v>
      </c>
      <c r="K30" s="206">
        <v>1.35</v>
      </c>
      <c r="L30" s="194">
        <v>79</v>
      </c>
      <c r="M30" s="206">
        <v>15.7345</v>
      </c>
      <c r="N30" s="206">
        <v>1.892857142857143</v>
      </c>
      <c r="O30" s="194" t="s">
        <v>257</v>
      </c>
      <c r="P30" s="194">
        <v>60</v>
      </c>
      <c r="Q30" s="194"/>
      <c r="R30" s="227"/>
      <c r="S30" s="194">
        <v>3</v>
      </c>
      <c r="T30" s="221">
        <v>3</v>
      </c>
      <c r="U30" s="194" t="s">
        <v>258</v>
      </c>
      <c r="V30" s="266">
        <v>0.1176</v>
      </c>
      <c r="W30" s="267">
        <v>22.04</v>
      </c>
      <c r="X30" s="267">
        <v>117.1</v>
      </c>
      <c r="Y30" s="267">
        <v>93.9</v>
      </c>
      <c r="Z30" s="267">
        <v>26.9</v>
      </c>
      <c r="AA30" s="268">
        <v>145.4</v>
      </c>
      <c r="AB30" s="206">
        <v>-0.4555555555555486</v>
      </c>
      <c r="AC30" s="206">
        <v>88.03333333333333</v>
      </c>
      <c r="AD30" s="212">
        <v>1.75</v>
      </c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277"/>
    </row>
    <row r="31" spans="1:253" ht="30">
      <c r="A31" s="297"/>
      <c r="B31" s="293"/>
      <c r="C31" s="197">
        <v>2</v>
      </c>
      <c r="D31" s="193" t="s">
        <v>302</v>
      </c>
      <c r="E31" s="202">
        <v>652.579</v>
      </c>
      <c r="F31" s="217">
        <v>4.63379398697086</v>
      </c>
      <c r="G31" s="218" t="s">
        <v>303</v>
      </c>
      <c r="H31" s="219">
        <v>3</v>
      </c>
      <c r="I31" s="206">
        <v>62.42307692307693</v>
      </c>
      <c r="J31" s="212">
        <v>14</v>
      </c>
      <c r="K31" s="206">
        <v>3</v>
      </c>
      <c r="L31" s="212">
        <v>60</v>
      </c>
      <c r="M31" s="206">
        <v>18.241500000000002</v>
      </c>
      <c r="N31" s="206">
        <v>1.8</v>
      </c>
      <c r="O31" s="194" t="s">
        <v>265</v>
      </c>
      <c r="P31" s="194">
        <v>61</v>
      </c>
      <c r="Q31" s="194">
        <v>5</v>
      </c>
      <c r="R31" s="235">
        <v>5</v>
      </c>
      <c r="S31" s="194"/>
      <c r="T31" s="233">
        <v>5</v>
      </c>
      <c r="U31" s="234" t="s">
        <v>268</v>
      </c>
      <c r="V31" s="266">
        <v>0.1935</v>
      </c>
      <c r="W31" s="267">
        <v>23.2</v>
      </c>
      <c r="X31" s="267">
        <v>125.5</v>
      </c>
      <c r="Y31" s="267">
        <v>91.9</v>
      </c>
      <c r="Z31" s="267">
        <v>26.3</v>
      </c>
      <c r="AA31" s="268">
        <v>148.5</v>
      </c>
      <c r="AB31" s="269">
        <v>-1.1999999999999886</v>
      </c>
      <c r="AC31" s="204">
        <v>100.03</v>
      </c>
      <c r="AD31" s="212">
        <v>1.5</v>
      </c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277"/>
    </row>
    <row r="32" spans="1:253" ht="15">
      <c r="A32" s="297"/>
      <c r="B32" s="293"/>
      <c r="C32" s="197"/>
      <c r="D32" s="193" t="s">
        <v>30</v>
      </c>
      <c r="E32" s="198">
        <v>664.9006111111111</v>
      </c>
      <c r="F32" s="194"/>
      <c r="G32" s="194"/>
      <c r="H32" s="207"/>
      <c r="I32" s="206">
        <v>67.8076923076923</v>
      </c>
      <c r="J32" s="207">
        <v>15</v>
      </c>
      <c r="K32" s="206">
        <v>1.35</v>
      </c>
      <c r="L32" s="194">
        <v>79</v>
      </c>
      <c r="M32" s="206">
        <v>15.7345</v>
      </c>
      <c r="N32" s="206">
        <v>1.892857142857143</v>
      </c>
      <c r="O32" s="194" t="s">
        <v>257</v>
      </c>
      <c r="P32" s="194">
        <v>60</v>
      </c>
      <c r="Q32" s="194"/>
      <c r="R32" s="227"/>
      <c r="S32" s="194"/>
      <c r="T32" s="233">
        <v>5</v>
      </c>
      <c r="U32" s="234" t="s">
        <v>268</v>
      </c>
      <c r="V32" s="266">
        <v>0.1935</v>
      </c>
      <c r="W32" s="267">
        <v>22.619999999999997</v>
      </c>
      <c r="X32" s="267">
        <v>121.3</v>
      </c>
      <c r="Y32" s="267">
        <v>92.9</v>
      </c>
      <c r="Z32" s="267">
        <v>26.6</v>
      </c>
      <c r="AA32" s="267">
        <v>146.95</v>
      </c>
      <c r="AB32" s="206">
        <v>-0.8277777777777686</v>
      </c>
      <c r="AC32" s="212">
        <v>94.03166666666667</v>
      </c>
      <c r="AD32" s="212">
        <v>1.625</v>
      </c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277"/>
    </row>
    <row r="33" spans="1:253" ht="15">
      <c r="A33" s="297"/>
      <c r="B33" s="293"/>
      <c r="C33" s="197">
        <v>3</v>
      </c>
      <c r="D33" s="193" t="s">
        <v>262</v>
      </c>
      <c r="E33" s="198">
        <v>722.0083333333333</v>
      </c>
      <c r="F33" s="198">
        <v>5.6772830615809395</v>
      </c>
      <c r="G33" s="198" t="s">
        <v>304</v>
      </c>
      <c r="H33" s="207">
        <v>3</v>
      </c>
      <c r="I33" s="198">
        <v>57.230769230769226</v>
      </c>
      <c r="J33" s="198">
        <v>37</v>
      </c>
      <c r="K33" s="198">
        <v>6.7</v>
      </c>
      <c r="L33" s="198">
        <v>62</v>
      </c>
      <c r="M33" s="198">
        <v>17.7605</v>
      </c>
      <c r="N33" s="198">
        <v>1.9</v>
      </c>
      <c r="O33" s="198" t="s">
        <v>261</v>
      </c>
      <c r="P33" s="198">
        <v>65</v>
      </c>
      <c r="Q33" s="198">
        <v>5</v>
      </c>
      <c r="R33" s="235">
        <v>4.75</v>
      </c>
      <c r="S33" s="198"/>
      <c r="T33" s="207">
        <v>5</v>
      </c>
      <c r="U33" s="198" t="s">
        <v>268</v>
      </c>
      <c r="V33" s="266">
        <v>0.2973</v>
      </c>
      <c r="W33" s="267">
        <v>22.1</v>
      </c>
      <c r="X33" s="267">
        <v>130.9</v>
      </c>
      <c r="Y33" s="267">
        <v>95.2</v>
      </c>
      <c r="Z33" s="267">
        <v>27.1</v>
      </c>
      <c r="AA33" s="268">
        <v>146</v>
      </c>
      <c r="AB33" s="206">
        <v>-1.3</v>
      </c>
      <c r="AC33" s="198">
        <v>94.40000000000002</v>
      </c>
      <c r="AD33" s="198">
        <v>1.2857142857142858</v>
      </c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277"/>
    </row>
    <row r="34" spans="1:253" ht="30" customHeight="1">
      <c r="A34" s="297" t="s">
        <v>305</v>
      </c>
      <c r="B34" s="293" t="s">
        <v>306</v>
      </c>
      <c r="C34" s="197">
        <v>1</v>
      </c>
      <c r="D34" s="193" t="s">
        <v>307</v>
      </c>
      <c r="E34" s="198">
        <v>669.1296296296297</v>
      </c>
      <c r="F34" s="194">
        <v>4.2</v>
      </c>
      <c r="G34" s="194" t="s">
        <v>273</v>
      </c>
      <c r="H34" s="207">
        <v>5</v>
      </c>
      <c r="I34" s="206">
        <v>67.84615384615384</v>
      </c>
      <c r="J34" s="207">
        <v>37</v>
      </c>
      <c r="K34" s="206">
        <v>3.7</v>
      </c>
      <c r="L34" s="194">
        <v>75</v>
      </c>
      <c r="M34" s="206">
        <v>16.240499999999997</v>
      </c>
      <c r="N34" s="206">
        <v>1.8148148148148149</v>
      </c>
      <c r="O34" s="194" t="s">
        <v>261</v>
      </c>
      <c r="P34" s="194">
        <v>64</v>
      </c>
      <c r="Q34" s="194"/>
      <c r="R34" s="227"/>
      <c r="S34" s="194">
        <v>3</v>
      </c>
      <c r="T34" s="221">
        <v>3</v>
      </c>
      <c r="U34" s="194" t="s">
        <v>258</v>
      </c>
      <c r="V34" s="266">
        <v>0.1343</v>
      </c>
      <c r="W34" s="267">
        <v>21.67</v>
      </c>
      <c r="X34" s="267">
        <v>112.7</v>
      </c>
      <c r="Y34" s="267">
        <v>93.7</v>
      </c>
      <c r="Z34" s="267">
        <v>28.5</v>
      </c>
      <c r="AA34" s="268">
        <v>146.4</v>
      </c>
      <c r="AB34" s="206">
        <v>0.5444444444444514</v>
      </c>
      <c r="AC34" s="206">
        <v>89.53333333333333</v>
      </c>
      <c r="AD34" s="212">
        <v>1.91666666666667</v>
      </c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277"/>
    </row>
    <row r="35" spans="1:253" ht="30">
      <c r="A35" s="297"/>
      <c r="B35" s="293"/>
      <c r="C35" s="197">
        <v>2</v>
      </c>
      <c r="D35" s="193" t="s">
        <v>308</v>
      </c>
      <c r="E35" s="202">
        <v>631.981</v>
      </c>
      <c r="F35" s="217">
        <v>1.33113348373122</v>
      </c>
      <c r="G35" s="218" t="s">
        <v>309</v>
      </c>
      <c r="H35" s="219">
        <v>9</v>
      </c>
      <c r="I35" s="206">
        <v>66.07692307692308</v>
      </c>
      <c r="J35" s="212">
        <v>18</v>
      </c>
      <c r="K35" s="206">
        <v>3.2</v>
      </c>
      <c r="L35" s="212">
        <v>60</v>
      </c>
      <c r="M35" s="206">
        <v>19.2965</v>
      </c>
      <c r="N35" s="206">
        <v>1.8</v>
      </c>
      <c r="O35" s="194" t="s">
        <v>265</v>
      </c>
      <c r="P35" s="194">
        <v>62</v>
      </c>
      <c r="Q35" s="244">
        <v>5</v>
      </c>
      <c r="R35" s="245">
        <v>4.5</v>
      </c>
      <c r="S35" s="194"/>
      <c r="T35" s="233">
        <v>5</v>
      </c>
      <c r="U35" s="234" t="s">
        <v>268</v>
      </c>
      <c r="V35" s="266">
        <v>0.28</v>
      </c>
      <c r="W35" s="267">
        <v>23</v>
      </c>
      <c r="X35" s="267">
        <v>119.3</v>
      </c>
      <c r="Y35" s="267">
        <v>91.9</v>
      </c>
      <c r="Z35" s="267">
        <v>26.4</v>
      </c>
      <c r="AA35" s="268">
        <v>149.4</v>
      </c>
      <c r="AB35" s="269">
        <v>-0.29999999999998295</v>
      </c>
      <c r="AC35" s="204">
        <v>98.57</v>
      </c>
      <c r="AD35" s="212">
        <v>2</v>
      </c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277"/>
    </row>
    <row r="36" spans="1:253" ht="15">
      <c r="A36" s="297"/>
      <c r="B36" s="293"/>
      <c r="C36" s="197"/>
      <c r="D36" s="193" t="s">
        <v>30</v>
      </c>
      <c r="E36" s="198">
        <v>650.5553148148149</v>
      </c>
      <c r="F36" s="194"/>
      <c r="G36" s="194"/>
      <c r="H36" s="207"/>
      <c r="I36" s="206">
        <v>66.07692307692308</v>
      </c>
      <c r="J36" s="212">
        <v>18</v>
      </c>
      <c r="K36" s="206">
        <v>3.2</v>
      </c>
      <c r="L36" s="212">
        <v>60</v>
      </c>
      <c r="M36" s="206">
        <v>19.2965</v>
      </c>
      <c r="N36" s="206">
        <v>1.8</v>
      </c>
      <c r="O36" s="194" t="s">
        <v>265</v>
      </c>
      <c r="P36" s="194">
        <v>62</v>
      </c>
      <c r="Q36" s="194"/>
      <c r="R36" s="227"/>
      <c r="S36" s="194"/>
      <c r="T36" s="233">
        <v>5</v>
      </c>
      <c r="U36" s="234" t="s">
        <v>268</v>
      </c>
      <c r="V36" s="266">
        <v>0.28</v>
      </c>
      <c r="W36" s="267">
        <v>22.335</v>
      </c>
      <c r="X36" s="267">
        <v>116</v>
      </c>
      <c r="Y36" s="267">
        <v>92.80000000000001</v>
      </c>
      <c r="Z36" s="267">
        <v>27.45</v>
      </c>
      <c r="AA36" s="267">
        <v>147.9</v>
      </c>
      <c r="AB36" s="206">
        <v>0.12222222222223422</v>
      </c>
      <c r="AC36" s="212">
        <v>94.05166666666666</v>
      </c>
      <c r="AD36" s="212">
        <v>1.958333333333335</v>
      </c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277"/>
    </row>
    <row r="37" spans="1:253" ht="15">
      <c r="A37" s="297"/>
      <c r="B37" s="293"/>
      <c r="C37" s="197">
        <v>3</v>
      </c>
      <c r="D37" s="193" t="s">
        <v>262</v>
      </c>
      <c r="E37" s="198">
        <v>724.565</v>
      </c>
      <c r="F37" s="198">
        <v>6.05149146687742</v>
      </c>
      <c r="G37" s="198" t="s">
        <v>304</v>
      </c>
      <c r="H37" s="207">
        <v>2</v>
      </c>
      <c r="I37" s="198">
        <v>65.57692307692308</v>
      </c>
      <c r="J37" s="198">
        <v>32</v>
      </c>
      <c r="K37" s="198">
        <v>5.1</v>
      </c>
      <c r="L37" s="198">
        <v>65</v>
      </c>
      <c r="M37" s="198">
        <v>18.268</v>
      </c>
      <c r="N37" s="198">
        <v>1.8</v>
      </c>
      <c r="O37" s="198" t="s">
        <v>261</v>
      </c>
      <c r="P37" s="198">
        <v>61</v>
      </c>
      <c r="Q37" s="198">
        <v>5</v>
      </c>
      <c r="R37" s="235">
        <v>4.75</v>
      </c>
      <c r="S37" s="198"/>
      <c r="T37" s="207">
        <v>5</v>
      </c>
      <c r="U37" s="198" t="s">
        <v>258</v>
      </c>
      <c r="V37" s="266">
        <v>0.1176</v>
      </c>
      <c r="W37" s="267">
        <v>22.4</v>
      </c>
      <c r="X37" s="267">
        <v>127.4</v>
      </c>
      <c r="Y37" s="267">
        <v>92.3</v>
      </c>
      <c r="Z37" s="267">
        <v>28.1</v>
      </c>
      <c r="AA37" s="268">
        <v>148.5</v>
      </c>
      <c r="AB37" s="198">
        <v>1.2</v>
      </c>
      <c r="AC37" s="198">
        <v>98.03333333333335</v>
      </c>
      <c r="AD37" s="198">
        <v>1.8571428571428572</v>
      </c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277"/>
    </row>
    <row r="38" spans="1:253" ht="30" customHeight="1">
      <c r="A38" s="297" t="s">
        <v>310</v>
      </c>
      <c r="B38" s="293" t="s">
        <v>311</v>
      </c>
      <c r="C38" s="197">
        <v>1</v>
      </c>
      <c r="D38" s="193" t="s">
        <v>312</v>
      </c>
      <c r="E38" s="198">
        <v>661.4259259259259</v>
      </c>
      <c r="F38" s="194">
        <v>3</v>
      </c>
      <c r="G38" s="194" t="s">
        <v>273</v>
      </c>
      <c r="H38" s="207">
        <v>7</v>
      </c>
      <c r="I38" s="206">
        <v>65.5</v>
      </c>
      <c r="J38" s="207">
        <v>30</v>
      </c>
      <c r="K38" s="206">
        <v>3.3</v>
      </c>
      <c r="L38" s="194">
        <v>82</v>
      </c>
      <c r="M38" s="206">
        <v>15</v>
      </c>
      <c r="N38" s="206">
        <v>1.793103448275862</v>
      </c>
      <c r="O38" s="194" t="s">
        <v>265</v>
      </c>
      <c r="P38" s="194">
        <v>63</v>
      </c>
      <c r="Q38" s="194"/>
      <c r="R38" s="227"/>
      <c r="S38" s="194">
        <v>3</v>
      </c>
      <c r="T38" s="221">
        <v>3</v>
      </c>
      <c r="U38" s="194" t="s">
        <v>258</v>
      </c>
      <c r="V38" s="266">
        <v>0.18309999999999998</v>
      </c>
      <c r="W38" s="267">
        <v>23.03</v>
      </c>
      <c r="X38" s="267">
        <v>104</v>
      </c>
      <c r="Y38" s="267">
        <v>94.1</v>
      </c>
      <c r="Z38" s="267">
        <v>27.9</v>
      </c>
      <c r="AA38" s="268">
        <v>145</v>
      </c>
      <c r="AB38" s="206">
        <v>-0.9000000000000057</v>
      </c>
      <c r="AC38" s="206">
        <v>86.55555555555556</v>
      </c>
      <c r="AD38" s="212">
        <v>2.33333333333333</v>
      </c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277"/>
    </row>
    <row r="39" spans="1:253" ht="30">
      <c r="A39" s="297"/>
      <c r="B39" s="293"/>
      <c r="C39" s="197">
        <v>2</v>
      </c>
      <c r="D39" s="193" t="s">
        <v>313</v>
      </c>
      <c r="E39" s="202">
        <v>663.809</v>
      </c>
      <c r="F39" s="217">
        <v>6.43439974730592</v>
      </c>
      <c r="G39" s="218" t="s">
        <v>284</v>
      </c>
      <c r="H39" s="219">
        <v>2</v>
      </c>
      <c r="I39" s="206">
        <v>69.26923076923077</v>
      </c>
      <c r="J39" s="212">
        <v>67</v>
      </c>
      <c r="K39" s="206">
        <v>10</v>
      </c>
      <c r="L39" s="212">
        <v>62</v>
      </c>
      <c r="M39" s="206">
        <v>17.976</v>
      </c>
      <c r="N39" s="206">
        <v>1.7</v>
      </c>
      <c r="O39" s="194" t="s">
        <v>261</v>
      </c>
      <c r="P39" s="194">
        <v>63</v>
      </c>
      <c r="Q39" s="244">
        <v>3</v>
      </c>
      <c r="R39" s="245">
        <v>4.25</v>
      </c>
      <c r="S39" s="194"/>
      <c r="T39" s="233">
        <v>5</v>
      </c>
      <c r="U39" s="234" t="s">
        <v>268</v>
      </c>
      <c r="V39" s="266">
        <v>0.1471</v>
      </c>
      <c r="W39" s="267">
        <v>21.9</v>
      </c>
      <c r="X39" s="267">
        <v>124.7</v>
      </c>
      <c r="Y39" s="267">
        <v>93.5</v>
      </c>
      <c r="Z39" s="267">
        <v>27.9</v>
      </c>
      <c r="AA39" s="268">
        <v>149.9</v>
      </c>
      <c r="AB39" s="269">
        <v>0.20000000000001705</v>
      </c>
      <c r="AC39" s="204">
        <v>97.99</v>
      </c>
      <c r="AD39" s="212">
        <v>2.3333333333333335</v>
      </c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277"/>
    </row>
    <row r="40" spans="1:253" ht="15">
      <c r="A40" s="297"/>
      <c r="B40" s="293"/>
      <c r="C40" s="197"/>
      <c r="D40" s="203" t="s">
        <v>30</v>
      </c>
      <c r="E40" s="198">
        <v>662.6174629629629</v>
      </c>
      <c r="F40" s="194"/>
      <c r="G40" s="194"/>
      <c r="H40" s="207"/>
      <c r="I40" s="206">
        <v>65.5</v>
      </c>
      <c r="J40" s="207">
        <v>30</v>
      </c>
      <c r="K40" s="206">
        <v>3.3</v>
      </c>
      <c r="L40" s="194">
        <v>82</v>
      </c>
      <c r="M40" s="206">
        <v>15</v>
      </c>
      <c r="N40" s="206">
        <v>1.793103448275862</v>
      </c>
      <c r="O40" s="194" t="s">
        <v>265</v>
      </c>
      <c r="P40" s="194">
        <v>63</v>
      </c>
      <c r="Q40" s="194"/>
      <c r="R40" s="227"/>
      <c r="S40" s="194"/>
      <c r="T40" s="233">
        <v>5</v>
      </c>
      <c r="U40" s="234" t="s">
        <v>268</v>
      </c>
      <c r="V40" s="266">
        <v>0.18309999999999998</v>
      </c>
      <c r="W40" s="267">
        <v>22.465</v>
      </c>
      <c r="X40" s="267">
        <v>114.35</v>
      </c>
      <c r="Y40" s="267">
        <v>93.8</v>
      </c>
      <c r="Z40" s="267">
        <v>27.9</v>
      </c>
      <c r="AA40" s="267">
        <v>147.45</v>
      </c>
      <c r="AB40" s="206">
        <v>-0.3499999999999943</v>
      </c>
      <c r="AC40" s="212">
        <v>92.27277777777778</v>
      </c>
      <c r="AD40" s="212">
        <v>2.3333333333333317</v>
      </c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277"/>
    </row>
    <row r="41" spans="1:253" ht="15">
      <c r="A41" s="297"/>
      <c r="B41" s="293"/>
      <c r="C41" s="197">
        <v>3</v>
      </c>
      <c r="D41" s="203" t="s">
        <v>262</v>
      </c>
      <c r="E41" s="198">
        <v>706.4583333333334</v>
      </c>
      <c r="F41" s="198">
        <v>3.401295824673362</v>
      </c>
      <c r="G41" s="198" t="s">
        <v>304</v>
      </c>
      <c r="H41" s="207">
        <v>4</v>
      </c>
      <c r="I41" s="198">
        <v>67.15384615384615</v>
      </c>
      <c r="J41" s="198">
        <v>44</v>
      </c>
      <c r="K41" s="198">
        <v>8.7</v>
      </c>
      <c r="L41" s="198">
        <v>65</v>
      </c>
      <c r="M41" s="198">
        <v>17.5625</v>
      </c>
      <c r="N41" s="198">
        <v>1.7</v>
      </c>
      <c r="O41" s="198" t="s">
        <v>261</v>
      </c>
      <c r="P41" s="198">
        <v>67</v>
      </c>
      <c r="Q41" s="198">
        <v>3</v>
      </c>
      <c r="R41" s="235">
        <v>3.25</v>
      </c>
      <c r="S41" s="198"/>
      <c r="T41" s="207">
        <v>3</v>
      </c>
      <c r="U41" s="198" t="s">
        <v>268</v>
      </c>
      <c r="V41" s="266">
        <v>0.1818</v>
      </c>
      <c r="W41" s="267">
        <v>22.1</v>
      </c>
      <c r="X41" s="267">
        <v>125.6</v>
      </c>
      <c r="Y41" s="267">
        <v>94</v>
      </c>
      <c r="Z41" s="267">
        <v>28.6</v>
      </c>
      <c r="AA41" s="268">
        <v>147.5</v>
      </c>
      <c r="AB41" s="198">
        <v>0.2</v>
      </c>
      <c r="AC41" s="198">
        <v>91.35</v>
      </c>
      <c r="AD41" s="198">
        <v>2.142857142857143</v>
      </c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277"/>
    </row>
    <row r="42" spans="1:253" ht="15.75">
      <c r="A42" s="299" t="s">
        <v>314</v>
      </c>
      <c r="B42" s="300"/>
      <c r="C42" s="300"/>
      <c r="D42" s="203" t="s">
        <v>277</v>
      </c>
      <c r="E42" s="201">
        <v>661.435</v>
      </c>
      <c r="F42" s="214"/>
      <c r="G42" s="214"/>
      <c r="H42" s="214">
        <v>8</v>
      </c>
      <c r="I42" s="215">
        <v>70.11538461538461</v>
      </c>
      <c r="J42" s="216">
        <v>41</v>
      </c>
      <c r="K42" s="215">
        <v>5.74</v>
      </c>
      <c r="L42" s="214">
        <v>86</v>
      </c>
      <c r="M42" s="215">
        <v>14.843</v>
      </c>
      <c r="N42" s="215">
        <v>1.8275862068965518</v>
      </c>
      <c r="O42" s="214" t="s">
        <v>261</v>
      </c>
      <c r="P42" s="214">
        <v>65</v>
      </c>
      <c r="Q42" s="214">
        <v>3</v>
      </c>
      <c r="R42" s="240"/>
      <c r="S42" s="240"/>
      <c r="T42" s="216">
        <v>5</v>
      </c>
      <c r="U42" s="214" t="s">
        <v>258</v>
      </c>
      <c r="V42" s="270">
        <v>0.13</v>
      </c>
      <c r="W42" s="271"/>
      <c r="X42" s="271"/>
      <c r="Y42" s="271"/>
      <c r="Z42" s="271"/>
      <c r="AA42" s="272"/>
      <c r="AB42" s="265"/>
      <c r="AC42" s="215">
        <v>91.88333333333333</v>
      </c>
      <c r="AD42" s="215">
        <v>1.6666666666666667</v>
      </c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277"/>
    </row>
    <row r="43" spans="1:253" ht="15">
      <c r="A43" s="299" t="s">
        <v>315</v>
      </c>
      <c r="B43" s="300"/>
      <c r="C43" s="300"/>
      <c r="D43" s="203" t="s">
        <v>279</v>
      </c>
      <c r="E43" s="202">
        <v>623.679</v>
      </c>
      <c r="F43" s="217"/>
      <c r="G43" s="217"/>
      <c r="H43" s="219">
        <v>11</v>
      </c>
      <c r="I43" s="206">
        <v>61.84615384615384</v>
      </c>
      <c r="J43" s="212">
        <v>37</v>
      </c>
      <c r="K43" s="206">
        <v>5.5</v>
      </c>
      <c r="L43" s="212">
        <v>65</v>
      </c>
      <c r="M43" s="206">
        <v>18.238500000000002</v>
      </c>
      <c r="N43" s="206">
        <v>1.7</v>
      </c>
      <c r="O43" s="194" t="s">
        <v>261</v>
      </c>
      <c r="P43" s="194">
        <v>62</v>
      </c>
      <c r="Q43" s="244">
        <v>5</v>
      </c>
      <c r="R43" s="245">
        <v>5</v>
      </c>
      <c r="S43" s="194"/>
      <c r="T43" s="233">
        <v>5</v>
      </c>
      <c r="U43" s="234" t="s">
        <v>258</v>
      </c>
      <c r="V43" s="266">
        <v>0.16</v>
      </c>
      <c r="W43" s="267"/>
      <c r="X43" s="267"/>
      <c r="Y43" s="267"/>
      <c r="Z43" s="267"/>
      <c r="AA43" s="268"/>
      <c r="AB43" s="206"/>
      <c r="AC43" s="204">
        <v>92.65</v>
      </c>
      <c r="AD43" s="212">
        <v>2</v>
      </c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277"/>
    </row>
    <row r="44" spans="1:253" ht="15">
      <c r="A44" s="300"/>
      <c r="B44" s="300"/>
      <c r="C44" s="300"/>
      <c r="D44" s="203" t="s">
        <v>262</v>
      </c>
      <c r="E44" s="204">
        <v>683.2216666666667</v>
      </c>
      <c r="F44" s="220"/>
      <c r="G44" s="221"/>
      <c r="H44" s="221">
        <v>5</v>
      </c>
      <c r="I44" s="206">
        <v>58.96153846153847</v>
      </c>
      <c r="J44" s="212">
        <v>32</v>
      </c>
      <c r="K44" s="206">
        <v>5.6</v>
      </c>
      <c r="L44" s="212">
        <v>70</v>
      </c>
      <c r="M44" s="206">
        <v>17.4</v>
      </c>
      <c r="N44" s="206">
        <v>1.8</v>
      </c>
      <c r="O44" s="246" t="s">
        <v>261</v>
      </c>
      <c r="P44" s="247">
        <v>66</v>
      </c>
      <c r="Q44" s="203">
        <v>7</v>
      </c>
      <c r="R44" s="248">
        <v>6.25</v>
      </c>
      <c r="S44" s="279"/>
      <c r="T44" s="249">
        <v>5</v>
      </c>
      <c r="U44" s="250" t="s">
        <v>258</v>
      </c>
      <c r="V44" s="273">
        <v>0.12119999999999999</v>
      </c>
      <c r="W44" s="274"/>
      <c r="X44" s="274"/>
      <c r="Y44" s="274"/>
      <c r="Z44" s="274"/>
      <c r="AA44" s="275"/>
      <c r="AB44" s="206"/>
      <c r="AC44" s="204">
        <v>90.88333333333333</v>
      </c>
      <c r="AD44" s="276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277"/>
    </row>
    <row r="45" spans="1:253" ht="30" customHeight="1">
      <c r="A45" s="297" t="s">
        <v>316</v>
      </c>
      <c r="B45" s="293" t="s">
        <v>181</v>
      </c>
      <c r="C45" s="197">
        <v>1</v>
      </c>
      <c r="D45" s="193" t="s">
        <v>317</v>
      </c>
      <c r="E45" s="198">
        <v>658.89</v>
      </c>
      <c r="F45" s="194">
        <v>2.8</v>
      </c>
      <c r="G45" s="194" t="s">
        <v>318</v>
      </c>
      <c r="H45" s="207">
        <v>5</v>
      </c>
      <c r="I45" s="206">
        <v>75.61538461538461</v>
      </c>
      <c r="J45" s="207">
        <v>80</v>
      </c>
      <c r="K45" s="206">
        <v>12.8</v>
      </c>
      <c r="L45" s="206">
        <v>100</v>
      </c>
      <c r="M45" s="206">
        <v>2.4</v>
      </c>
      <c r="N45" s="206">
        <v>1.7241379310344829</v>
      </c>
      <c r="O45" s="206" t="s">
        <v>261</v>
      </c>
      <c r="P45" s="194" t="s">
        <v>319</v>
      </c>
      <c r="Q45" s="194"/>
      <c r="R45" s="227"/>
      <c r="S45" s="194">
        <v>2</v>
      </c>
      <c r="T45" s="221">
        <v>5</v>
      </c>
      <c r="U45" s="194" t="s">
        <v>258</v>
      </c>
      <c r="V45" s="266">
        <v>0.11359999999999999</v>
      </c>
      <c r="W45" s="267">
        <v>22.3</v>
      </c>
      <c r="X45" s="267">
        <v>110.9</v>
      </c>
      <c r="Y45" s="267">
        <v>92.6</v>
      </c>
      <c r="Z45" s="267">
        <v>27.9</v>
      </c>
      <c r="AA45" s="268">
        <v>157.9</v>
      </c>
      <c r="AB45" s="206">
        <v>-1.5428571428571445</v>
      </c>
      <c r="AC45" s="206">
        <v>94.56714285714285</v>
      </c>
      <c r="AD45" s="212">
        <v>2.08333333333333</v>
      </c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277"/>
    </row>
    <row r="46" spans="1:253" ht="30">
      <c r="A46" s="297"/>
      <c r="B46" s="293"/>
      <c r="C46" s="197">
        <v>2</v>
      </c>
      <c r="D46" s="193" t="s">
        <v>320</v>
      </c>
      <c r="E46" s="205">
        <v>689.57</v>
      </c>
      <c r="F46" s="205">
        <v>3.5701411835386145</v>
      </c>
      <c r="G46" s="222" t="s">
        <v>321</v>
      </c>
      <c r="H46" s="222">
        <v>5</v>
      </c>
      <c r="I46" s="206">
        <v>70.57692307692308</v>
      </c>
      <c r="J46" s="212">
        <v>44</v>
      </c>
      <c r="K46" s="206">
        <v>12.5</v>
      </c>
      <c r="L46" s="212">
        <v>92</v>
      </c>
      <c r="M46" s="206">
        <v>10.104500000000002</v>
      </c>
      <c r="N46" s="206">
        <v>1.7</v>
      </c>
      <c r="O46" s="194" t="s">
        <v>261</v>
      </c>
      <c r="P46" s="194" t="s">
        <v>319</v>
      </c>
      <c r="Q46" s="251">
        <v>3</v>
      </c>
      <c r="R46" s="252">
        <v>3.75</v>
      </c>
      <c r="S46" s="194"/>
      <c r="T46" s="233">
        <v>3</v>
      </c>
      <c r="U46" s="234" t="s">
        <v>258</v>
      </c>
      <c r="V46" s="266">
        <v>0.0714</v>
      </c>
      <c r="W46" s="267">
        <v>21.5</v>
      </c>
      <c r="X46" s="267">
        <v>123.3</v>
      </c>
      <c r="Y46" s="267">
        <v>93.8</v>
      </c>
      <c r="Z46" s="267">
        <v>28.2</v>
      </c>
      <c r="AA46" s="268">
        <v>161.7</v>
      </c>
      <c r="AB46" s="206">
        <v>0.5666666666666629</v>
      </c>
      <c r="AC46" s="206">
        <v>105.85555555555555</v>
      </c>
      <c r="AD46" s="212">
        <v>2.7</v>
      </c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277"/>
    </row>
    <row r="47" spans="1:253" ht="15">
      <c r="A47" s="297"/>
      <c r="B47" s="293"/>
      <c r="C47" s="197"/>
      <c r="D47" s="193" t="s">
        <v>30</v>
      </c>
      <c r="E47" s="198">
        <v>674.23</v>
      </c>
      <c r="F47" s="194"/>
      <c r="G47" s="223"/>
      <c r="H47" s="207"/>
      <c r="I47" s="206">
        <v>75.61538461538461</v>
      </c>
      <c r="J47" s="207">
        <v>80</v>
      </c>
      <c r="K47" s="206">
        <v>12.8</v>
      </c>
      <c r="L47" s="206">
        <v>100</v>
      </c>
      <c r="M47" s="206">
        <v>2.4</v>
      </c>
      <c r="N47" s="206">
        <v>1.7241379310344829</v>
      </c>
      <c r="O47" s="206" t="s">
        <v>261</v>
      </c>
      <c r="P47" s="194" t="s">
        <v>319</v>
      </c>
      <c r="Q47" s="251">
        <v>3</v>
      </c>
      <c r="R47" s="252">
        <v>3.75</v>
      </c>
      <c r="S47" s="194"/>
      <c r="T47" s="221">
        <v>5</v>
      </c>
      <c r="U47" s="194" t="s">
        <v>258</v>
      </c>
      <c r="V47" s="266">
        <v>0.11359999999999999</v>
      </c>
      <c r="W47" s="267">
        <v>21.9</v>
      </c>
      <c r="X47" s="267">
        <v>117.1</v>
      </c>
      <c r="Y47" s="267">
        <v>93.19999999999999</v>
      </c>
      <c r="Z47" s="267">
        <v>28.049999999999997</v>
      </c>
      <c r="AA47" s="267">
        <v>159.8</v>
      </c>
      <c r="AB47" s="206">
        <v>-0.4880952380952408</v>
      </c>
      <c r="AC47" s="212">
        <v>100.21134920634921</v>
      </c>
      <c r="AD47" s="212">
        <v>2.391666666666665</v>
      </c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277"/>
    </row>
    <row r="48" spans="1:253" ht="15">
      <c r="A48" s="297"/>
      <c r="B48" s="293"/>
      <c r="C48" s="197">
        <v>3</v>
      </c>
      <c r="D48" s="193" t="s">
        <v>262</v>
      </c>
      <c r="E48" s="198">
        <v>719.4316666666667</v>
      </c>
      <c r="F48" s="194">
        <v>7.61</v>
      </c>
      <c r="G48" s="222" t="s">
        <v>196</v>
      </c>
      <c r="H48" s="207">
        <v>2</v>
      </c>
      <c r="I48" s="206">
        <v>69.96153846153847</v>
      </c>
      <c r="J48" s="207">
        <v>38</v>
      </c>
      <c r="K48" s="206">
        <v>7.1</v>
      </c>
      <c r="L48" s="206">
        <v>87</v>
      </c>
      <c r="M48" s="206">
        <v>9.249500000000001</v>
      </c>
      <c r="N48" s="206">
        <v>1.7</v>
      </c>
      <c r="O48" s="206" t="s">
        <v>261</v>
      </c>
      <c r="P48" s="194">
        <v>65</v>
      </c>
      <c r="Q48" s="251">
        <v>3</v>
      </c>
      <c r="R48" s="252">
        <v>3.75</v>
      </c>
      <c r="S48" s="194"/>
      <c r="T48" s="221">
        <v>3</v>
      </c>
      <c r="U48" s="194" t="s">
        <v>258</v>
      </c>
      <c r="V48" s="266">
        <v>0.2069</v>
      </c>
      <c r="W48" s="267">
        <v>21.3</v>
      </c>
      <c r="X48" s="267">
        <v>131.47</v>
      </c>
      <c r="Y48" s="267">
        <v>93.89</v>
      </c>
      <c r="Z48" s="267">
        <v>29.91</v>
      </c>
      <c r="AA48" s="268">
        <v>160.67</v>
      </c>
      <c r="AB48" s="206">
        <v>-0.3</v>
      </c>
      <c r="AC48" s="212">
        <v>100.43333333333332</v>
      </c>
      <c r="AD48" s="212">
        <v>2.4</v>
      </c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277"/>
    </row>
    <row r="49" spans="1:253" ht="15">
      <c r="A49" s="300" t="s">
        <v>322</v>
      </c>
      <c r="B49" s="297"/>
      <c r="C49" s="197">
        <v>1</v>
      </c>
      <c r="D49" s="193" t="s">
        <v>277</v>
      </c>
      <c r="E49" s="198">
        <v>641.1904761904761</v>
      </c>
      <c r="F49" s="194"/>
      <c r="G49" s="194"/>
      <c r="H49" s="207"/>
      <c r="I49" s="194">
        <v>10</v>
      </c>
      <c r="J49" s="206">
        <v>74.23076923076923</v>
      </c>
      <c r="K49" s="207">
        <v>55</v>
      </c>
      <c r="L49" s="206">
        <v>6.05</v>
      </c>
      <c r="M49" s="206">
        <v>80</v>
      </c>
      <c r="N49" s="206">
        <v>14.8095</v>
      </c>
      <c r="O49" s="206">
        <v>1.793103448275862</v>
      </c>
      <c r="P49" s="206" t="s">
        <v>261</v>
      </c>
      <c r="Q49" s="194">
        <v>67</v>
      </c>
      <c r="R49" s="227"/>
      <c r="S49" s="194"/>
      <c r="T49" s="221">
        <v>3</v>
      </c>
      <c r="U49" s="194">
        <v>5</v>
      </c>
      <c r="V49" s="266">
        <v>0.1</v>
      </c>
      <c r="W49" s="267"/>
      <c r="X49" s="267"/>
      <c r="Y49" s="267"/>
      <c r="Z49" s="267"/>
      <c r="AA49" s="268"/>
      <c r="AB49" s="206"/>
      <c r="AC49" s="212">
        <v>0.028571428571410706</v>
      </c>
      <c r="AD49" s="212">
        <v>90.60571428571428</v>
      </c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277"/>
    </row>
    <row r="50" spans="1:253" ht="15">
      <c r="A50" s="300"/>
      <c r="B50" s="297"/>
      <c r="C50" s="197">
        <v>2</v>
      </c>
      <c r="D50" s="193" t="s">
        <v>279</v>
      </c>
      <c r="E50" s="205">
        <v>665.79625</v>
      </c>
      <c r="F50" s="205"/>
      <c r="G50" s="224"/>
      <c r="H50" s="222">
        <v>9</v>
      </c>
      <c r="I50" s="206">
        <v>71.03846153846153</v>
      </c>
      <c r="J50" s="212">
        <v>49</v>
      </c>
      <c r="K50" s="206">
        <v>8.7</v>
      </c>
      <c r="L50" s="212">
        <v>87</v>
      </c>
      <c r="M50" s="206">
        <v>14.844000000000001</v>
      </c>
      <c r="N50" s="206">
        <v>1.7</v>
      </c>
      <c r="O50" s="194" t="s">
        <v>261</v>
      </c>
      <c r="P50" s="194">
        <v>67</v>
      </c>
      <c r="Q50" s="251">
        <v>5</v>
      </c>
      <c r="R50" s="252">
        <v>5.25</v>
      </c>
      <c r="S50" s="194"/>
      <c r="T50" s="233">
        <v>5</v>
      </c>
      <c r="U50" s="234" t="s">
        <v>258</v>
      </c>
      <c r="V50" s="266">
        <v>0.1613</v>
      </c>
      <c r="W50" s="267"/>
      <c r="X50" s="267"/>
      <c r="Y50" s="267"/>
      <c r="Z50" s="267"/>
      <c r="AA50" s="268"/>
      <c r="AB50" s="206">
        <v>0.011111111111119953</v>
      </c>
      <c r="AC50" s="206">
        <v>98.85</v>
      </c>
      <c r="AD50" s="212">
        <v>2</v>
      </c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277"/>
    </row>
    <row r="51" spans="1:253" ht="15">
      <c r="A51" s="300"/>
      <c r="B51" s="297"/>
      <c r="C51" s="197">
        <v>3</v>
      </c>
      <c r="D51" s="193" t="s">
        <v>262</v>
      </c>
      <c r="E51" s="205">
        <v>669.8533333333334</v>
      </c>
      <c r="F51" s="205">
        <v>0</v>
      </c>
      <c r="G51" s="205"/>
      <c r="H51" s="222">
        <v>3</v>
      </c>
      <c r="I51" s="205">
        <v>73.26923076923077</v>
      </c>
      <c r="J51" s="205">
        <v>47</v>
      </c>
      <c r="K51" s="205">
        <v>8.2</v>
      </c>
      <c r="L51" s="205">
        <v>88</v>
      </c>
      <c r="M51" s="205">
        <v>8.9535</v>
      </c>
      <c r="N51" s="205">
        <v>1.7</v>
      </c>
      <c r="O51" s="205" t="s">
        <v>261</v>
      </c>
      <c r="P51" s="205">
        <v>66</v>
      </c>
      <c r="Q51" s="205"/>
      <c r="R51" s="253"/>
      <c r="S51" s="205"/>
      <c r="T51" s="222"/>
      <c r="U51" s="205"/>
      <c r="V51" s="266">
        <v>0.0833</v>
      </c>
      <c r="W51" s="267"/>
      <c r="X51" s="267"/>
      <c r="Y51" s="267"/>
      <c r="Z51" s="267"/>
      <c r="AA51" s="268"/>
      <c r="AB51" s="205"/>
      <c r="AC51" s="205">
        <v>96.35</v>
      </c>
      <c r="AD51" s="205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277"/>
    </row>
    <row r="52" spans="1:253" ht="30" customHeight="1">
      <c r="A52" s="297" t="s">
        <v>222</v>
      </c>
      <c r="B52" s="293" t="s">
        <v>323</v>
      </c>
      <c r="C52" s="197">
        <v>1</v>
      </c>
      <c r="D52" s="193" t="s">
        <v>324</v>
      </c>
      <c r="E52" s="198">
        <v>672.8916666666667</v>
      </c>
      <c r="F52" s="194">
        <v>1.7</v>
      </c>
      <c r="G52" s="194" t="s">
        <v>325</v>
      </c>
      <c r="H52" s="207">
        <v>6</v>
      </c>
      <c r="I52" s="206">
        <v>62.1</v>
      </c>
      <c r="J52" s="207">
        <v>10</v>
      </c>
      <c r="K52" s="206">
        <v>0.8</v>
      </c>
      <c r="L52" s="194">
        <v>73</v>
      </c>
      <c r="M52" s="206">
        <v>16.2</v>
      </c>
      <c r="N52" s="206">
        <v>1.8214285714285714</v>
      </c>
      <c r="O52" s="194" t="s">
        <v>265</v>
      </c>
      <c r="P52" s="194">
        <v>69</v>
      </c>
      <c r="Q52" s="194"/>
      <c r="R52" s="227"/>
      <c r="S52" s="194">
        <v>3</v>
      </c>
      <c r="T52" s="221">
        <v>5</v>
      </c>
      <c r="U52" s="194" t="s">
        <v>258</v>
      </c>
      <c r="V52" s="266">
        <v>0.0698</v>
      </c>
      <c r="W52" s="267">
        <v>21.8</v>
      </c>
      <c r="X52" s="267">
        <v>124.6</v>
      </c>
      <c r="Y52" s="267">
        <v>76.1</v>
      </c>
      <c r="Z52" s="267">
        <v>26.4</v>
      </c>
      <c r="AA52" s="268">
        <v>148.3</v>
      </c>
      <c r="AB52" s="206">
        <v>-1.6666666666666572</v>
      </c>
      <c r="AC52" s="206">
        <v>98.51666666666667</v>
      </c>
      <c r="AD52" s="212">
        <v>2.4166666666666665</v>
      </c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277"/>
    </row>
    <row r="53" spans="1:253" ht="30">
      <c r="A53" s="297"/>
      <c r="B53" s="293"/>
      <c r="C53" s="197">
        <v>2</v>
      </c>
      <c r="D53" s="193" t="s">
        <v>326</v>
      </c>
      <c r="E53" s="198">
        <v>699.42</v>
      </c>
      <c r="F53" s="198">
        <v>4.9</v>
      </c>
      <c r="G53" s="207" t="s">
        <v>327</v>
      </c>
      <c r="H53" s="207">
        <v>2</v>
      </c>
      <c r="I53" s="206">
        <v>72.34615384615384</v>
      </c>
      <c r="J53" s="212">
        <v>20</v>
      </c>
      <c r="K53" s="206">
        <v>5.2</v>
      </c>
      <c r="L53" s="212">
        <v>67</v>
      </c>
      <c r="M53" s="206">
        <v>16.0225</v>
      </c>
      <c r="N53" s="206">
        <v>1.7</v>
      </c>
      <c r="O53" s="194" t="s">
        <v>261</v>
      </c>
      <c r="P53" s="194">
        <v>69</v>
      </c>
      <c r="Q53" s="194">
        <v>3</v>
      </c>
      <c r="R53" s="254">
        <v>5</v>
      </c>
      <c r="S53" s="194"/>
      <c r="T53" s="233">
        <v>5</v>
      </c>
      <c r="U53" s="234" t="s">
        <v>258</v>
      </c>
      <c r="V53" s="266">
        <v>0.1111</v>
      </c>
      <c r="W53" s="267">
        <v>20.1</v>
      </c>
      <c r="X53" s="267">
        <v>138.3</v>
      </c>
      <c r="Y53" s="267">
        <v>92.1</v>
      </c>
      <c r="Z53" s="267">
        <v>27.3</v>
      </c>
      <c r="AA53" s="268">
        <v>151.6</v>
      </c>
      <c r="AB53" s="206">
        <v>-2.375</v>
      </c>
      <c r="AC53" s="198">
        <v>105.175</v>
      </c>
      <c r="AD53" s="212">
        <v>1.7142857142857142</v>
      </c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277"/>
    </row>
    <row r="54" spans="1:253" ht="15">
      <c r="A54" s="297"/>
      <c r="B54" s="293"/>
      <c r="C54" s="197"/>
      <c r="D54" s="193" t="s">
        <v>30</v>
      </c>
      <c r="E54" s="198">
        <v>686.1558333333332</v>
      </c>
      <c r="F54" s="194"/>
      <c r="G54" s="194"/>
      <c r="H54" s="207"/>
      <c r="I54" s="206">
        <v>62.1</v>
      </c>
      <c r="J54" s="207">
        <v>10</v>
      </c>
      <c r="K54" s="206">
        <v>0.8</v>
      </c>
      <c r="L54" s="194">
        <v>73</v>
      </c>
      <c r="M54" s="206">
        <v>16.2</v>
      </c>
      <c r="N54" s="206">
        <v>1.8214285714285714</v>
      </c>
      <c r="O54" s="194" t="s">
        <v>265</v>
      </c>
      <c r="P54" s="194">
        <v>69</v>
      </c>
      <c r="Q54" s="194">
        <v>3</v>
      </c>
      <c r="R54" s="254">
        <v>5</v>
      </c>
      <c r="S54" s="194"/>
      <c r="T54" s="233">
        <v>5</v>
      </c>
      <c r="U54" s="234" t="s">
        <v>258</v>
      </c>
      <c r="V54" s="266">
        <v>0.1111</v>
      </c>
      <c r="W54" s="267">
        <v>20.950000000000003</v>
      </c>
      <c r="X54" s="267">
        <v>131.45</v>
      </c>
      <c r="Y54" s="267">
        <v>84.1</v>
      </c>
      <c r="Z54" s="267">
        <v>26.85</v>
      </c>
      <c r="AA54" s="267">
        <v>149.95</v>
      </c>
      <c r="AB54" s="206">
        <v>-2.0208333333333286</v>
      </c>
      <c r="AC54" s="206">
        <v>101.84583333333333</v>
      </c>
      <c r="AD54" s="212">
        <v>2.0654761904761902</v>
      </c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277"/>
    </row>
    <row r="55" spans="1:253" ht="15">
      <c r="A55" s="297"/>
      <c r="B55" s="293"/>
      <c r="C55" s="197">
        <v>3</v>
      </c>
      <c r="D55" s="193" t="s">
        <v>262</v>
      </c>
      <c r="E55" s="198">
        <v>736.2566666666667</v>
      </c>
      <c r="F55" s="198">
        <v>5.5</v>
      </c>
      <c r="G55" s="198" t="s">
        <v>196</v>
      </c>
      <c r="H55" s="207">
        <v>1</v>
      </c>
      <c r="I55" s="198">
        <v>70.76923076923076</v>
      </c>
      <c r="J55" s="198">
        <v>12</v>
      </c>
      <c r="K55" s="198">
        <v>3</v>
      </c>
      <c r="L55" s="198">
        <v>70</v>
      </c>
      <c r="M55" s="198">
        <v>15</v>
      </c>
      <c r="N55" s="198">
        <v>1.8</v>
      </c>
      <c r="O55" s="198" t="s">
        <v>257</v>
      </c>
      <c r="P55" s="198">
        <v>67</v>
      </c>
      <c r="Q55" s="198">
        <v>5</v>
      </c>
      <c r="R55" s="235">
        <v>5</v>
      </c>
      <c r="S55" s="198"/>
      <c r="T55" s="207">
        <v>5</v>
      </c>
      <c r="U55" s="198" t="s">
        <v>258</v>
      </c>
      <c r="V55" s="266">
        <v>0.10710000000000001</v>
      </c>
      <c r="W55" s="267">
        <v>21.7</v>
      </c>
      <c r="X55" s="267">
        <v>130.8</v>
      </c>
      <c r="Y55" s="267">
        <v>94.7</v>
      </c>
      <c r="Z55" s="267">
        <v>27.4</v>
      </c>
      <c r="AA55" s="268">
        <v>155.2</v>
      </c>
      <c r="AB55" s="206">
        <v>-0.6</v>
      </c>
      <c r="AC55" s="198">
        <v>101.875</v>
      </c>
      <c r="AD55" s="198">
        <v>2</v>
      </c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277"/>
    </row>
    <row r="56" spans="1:253" ht="15">
      <c r="A56" s="297" t="s">
        <v>328</v>
      </c>
      <c r="B56" s="309" t="s">
        <v>329</v>
      </c>
      <c r="C56" s="197">
        <v>1</v>
      </c>
      <c r="D56" s="193">
        <v>2013</v>
      </c>
      <c r="E56" s="198">
        <v>643.2357142857143</v>
      </c>
      <c r="F56" s="198"/>
      <c r="G56" s="198"/>
      <c r="H56" s="198">
        <v>11</v>
      </c>
      <c r="I56" s="206">
        <v>73.88461538461539</v>
      </c>
      <c r="J56" s="206">
        <v>56</v>
      </c>
      <c r="K56" s="206">
        <v>3.92</v>
      </c>
      <c r="L56" s="206">
        <v>70</v>
      </c>
      <c r="M56" s="206">
        <v>17.4175</v>
      </c>
      <c r="N56" s="206">
        <v>1.7666666666666666</v>
      </c>
      <c r="O56" s="206" t="s">
        <v>261</v>
      </c>
      <c r="P56" s="206">
        <v>65</v>
      </c>
      <c r="Q56" s="194"/>
      <c r="R56" s="227"/>
      <c r="S56" s="194">
        <v>3</v>
      </c>
      <c r="T56" s="221">
        <v>3</v>
      </c>
      <c r="U56" s="194" t="s">
        <v>258</v>
      </c>
      <c r="V56" s="270">
        <v>0.1</v>
      </c>
      <c r="W56" s="271"/>
      <c r="X56" s="271"/>
      <c r="Y56" s="271"/>
      <c r="Z56" s="271"/>
      <c r="AA56" s="272"/>
      <c r="AB56" s="212">
        <v>0.0028571428571524393</v>
      </c>
      <c r="AC56" s="206">
        <v>94.55714285714285</v>
      </c>
      <c r="AD56" s="212">
        <v>1.8333333333333333</v>
      </c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277"/>
    </row>
    <row r="57" spans="1:253" ht="15">
      <c r="A57" s="297"/>
      <c r="B57" s="305"/>
      <c r="C57" s="197">
        <v>2</v>
      </c>
      <c r="D57" s="193">
        <v>2014</v>
      </c>
      <c r="E57" s="198">
        <v>666.8</v>
      </c>
      <c r="F57" s="198">
        <v>0</v>
      </c>
      <c r="G57" s="198"/>
      <c r="H57" s="207">
        <v>9</v>
      </c>
      <c r="I57" s="198">
        <v>72.8076923076923</v>
      </c>
      <c r="J57" s="198">
        <v>30</v>
      </c>
      <c r="K57" s="198">
        <v>4.6</v>
      </c>
      <c r="L57" s="198">
        <v>70</v>
      </c>
      <c r="M57" s="198">
        <v>16.287</v>
      </c>
      <c r="N57" s="198">
        <v>1.7</v>
      </c>
      <c r="O57" s="198" t="s">
        <v>265</v>
      </c>
      <c r="P57" s="198">
        <v>67</v>
      </c>
      <c r="Q57" s="198">
        <v>5</v>
      </c>
      <c r="R57" s="235">
        <v>5</v>
      </c>
      <c r="S57" s="198"/>
      <c r="T57" s="207">
        <v>5</v>
      </c>
      <c r="U57" s="198" t="s">
        <v>258</v>
      </c>
      <c r="V57" s="266">
        <v>0.3</v>
      </c>
      <c r="W57" s="267"/>
      <c r="X57" s="267"/>
      <c r="Y57" s="267"/>
      <c r="Z57" s="267"/>
      <c r="AA57" s="268"/>
      <c r="AB57" s="198"/>
      <c r="AC57" s="198">
        <v>98.49375</v>
      </c>
      <c r="AD57" s="198">
        <v>2</v>
      </c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277"/>
    </row>
    <row r="58" spans="1:253" ht="15">
      <c r="A58" s="297"/>
      <c r="B58" s="305"/>
      <c r="C58" s="197">
        <v>3</v>
      </c>
      <c r="D58" s="193">
        <v>2015</v>
      </c>
      <c r="E58" s="198">
        <v>697.9216666666666</v>
      </c>
      <c r="F58" s="198">
        <v>0</v>
      </c>
      <c r="G58" s="198"/>
      <c r="H58" s="207">
        <v>2</v>
      </c>
      <c r="I58" s="198">
        <v>70.6923076923077</v>
      </c>
      <c r="J58" s="198">
        <v>68</v>
      </c>
      <c r="K58" s="198">
        <v>14.8</v>
      </c>
      <c r="L58" s="198">
        <v>65</v>
      </c>
      <c r="M58" s="198">
        <v>13.704</v>
      </c>
      <c r="N58" s="198">
        <v>1.7</v>
      </c>
      <c r="O58" s="198" t="s">
        <v>261</v>
      </c>
      <c r="P58" s="198">
        <v>65</v>
      </c>
      <c r="Q58" s="198"/>
      <c r="R58" s="235"/>
      <c r="S58" s="198"/>
      <c r="T58" s="207"/>
      <c r="U58" s="198"/>
      <c r="V58" s="266">
        <v>0.0417</v>
      </c>
      <c r="W58" s="267"/>
      <c r="X58" s="267"/>
      <c r="Y58" s="267"/>
      <c r="Z58" s="267"/>
      <c r="AA58" s="268"/>
      <c r="AB58" s="198"/>
      <c r="AC58" s="198">
        <v>96.02666666666666</v>
      </c>
      <c r="AD58" s="198">
        <v>1.75</v>
      </c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277"/>
    </row>
    <row r="59" spans="1:253" ht="30">
      <c r="A59" s="298" t="s">
        <v>330</v>
      </c>
      <c r="B59" s="293" t="s">
        <v>331</v>
      </c>
      <c r="C59" s="197">
        <v>1</v>
      </c>
      <c r="D59" s="193" t="s">
        <v>332</v>
      </c>
      <c r="E59" s="198">
        <v>724.5</v>
      </c>
      <c r="F59" s="194">
        <v>0.9</v>
      </c>
      <c r="G59" s="194" t="s">
        <v>333</v>
      </c>
      <c r="H59" s="207">
        <v>3</v>
      </c>
      <c r="I59" s="206">
        <v>69.23076923076923</v>
      </c>
      <c r="J59" s="207">
        <v>27</v>
      </c>
      <c r="K59" s="206">
        <v>2.7</v>
      </c>
      <c r="L59" s="206">
        <v>87</v>
      </c>
      <c r="M59" s="206">
        <v>13.635</v>
      </c>
      <c r="N59" s="206">
        <v>2.3333333333333335</v>
      </c>
      <c r="O59" s="206" t="s">
        <v>261</v>
      </c>
      <c r="P59" s="194">
        <v>68</v>
      </c>
      <c r="Q59" s="194"/>
      <c r="R59" s="227"/>
      <c r="S59" s="194">
        <v>2</v>
      </c>
      <c r="T59" s="221">
        <v>5</v>
      </c>
      <c r="U59" s="194" t="s">
        <v>258</v>
      </c>
      <c r="V59" s="266">
        <v>0.0851</v>
      </c>
      <c r="W59" s="267">
        <v>17</v>
      </c>
      <c r="X59" s="267">
        <v>185</v>
      </c>
      <c r="Y59" s="267">
        <v>87.2</v>
      </c>
      <c r="Z59" s="267">
        <v>23.1</v>
      </c>
      <c r="AA59" s="268">
        <v>159</v>
      </c>
      <c r="AB59" s="206">
        <v>-2.3000000000000114</v>
      </c>
      <c r="AC59" s="206">
        <v>117.5</v>
      </c>
      <c r="AD59" s="212">
        <v>1.9</v>
      </c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277"/>
    </row>
    <row r="60" spans="1:253" ht="30">
      <c r="A60" s="297"/>
      <c r="B60" s="293"/>
      <c r="C60" s="197">
        <v>2</v>
      </c>
      <c r="D60" s="193" t="s">
        <v>334</v>
      </c>
      <c r="E60" s="206">
        <v>724.0666666666666</v>
      </c>
      <c r="F60" s="225">
        <v>1.36</v>
      </c>
      <c r="G60" s="207" t="s">
        <v>335</v>
      </c>
      <c r="H60" s="226">
        <v>6</v>
      </c>
      <c r="I60" s="206">
        <v>69.8076923076923</v>
      </c>
      <c r="J60" s="212">
        <v>14</v>
      </c>
      <c r="K60" s="206">
        <v>3</v>
      </c>
      <c r="L60" s="212">
        <v>73</v>
      </c>
      <c r="M60" s="206">
        <v>15.4635</v>
      </c>
      <c r="N60" s="206">
        <v>2.1</v>
      </c>
      <c r="O60" s="194" t="s">
        <v>257</v>
      </c>
      <c r="P60" s="194">
        <v>60</v>
      </c>
      <c r="Q60" s="255">
        <v>3</v>
      </c>
      <c r="R60" s="256">
        <v>4.25</v>
      </c>
      <c r="S60" s="194"/>
      <c r="T60" s="233">
        <v>5</v>
      </c>
      <c r="U60" s="234" t="s">
        <v>258</v>
      </c>
      <c r="V60" s="266">
        <v>0.1071</v>
      </c>
      <c r="W60" s="267">
        <v>15.1</v>
      </c>
      <c r="X60" s="267">
        <v>215.5</v>
      </c>
      <c r="Y60" s="267">
        <v>89.9</v>
      </c>
      <c r="Z60" s="267">
        <v>23.7</v>
      </c>
      <c r="AA60" s="268">
        <v>161.8</v>
      </c>
      <c r="AB60" s="206">
        <v>-6.466666666666669</v>
      </c>
      <c r="AC60" s="206">
        <v>113.38333333333333</v>
      </c>
      <c r="AD60" s="212">
        <v>1</v>
      </c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277"/>
    </row>
    <row r="61" spans="1:253" ht="15">
      <c r="A61" s="297"/>
      <c r="B61" s="293"/>
      <c r="C61" s="197"/>
      <c r="D61" s="193" t="s">
        <v>30</v>
      </c>
      <c r="E61" s="198">
        <v>724.2833333333333</v>
      </c>
      <c r="F61" s="194"/>
      <c r="G61" s="194"/>
      <c r="H61" s="207"/>
      <c r="I61" s="206">
        <v>69.8076923076923</v>
      </c>
      <c r="J61" s="212">
        <v>14</v>
      </c>
      <c r="K61" s="206">
        <v>3</v>
      </c>
      <c r="L61" s="212">
        <v>73</v>
      </c>
      <c r="M61" s="206">
        <v>15.4635</v>
      </c>
      <c r="N61" s="206">
        <v>2.1</v>
      </c>
      <c r="O61" s="194" t="s">
        <v>257</v>
      </c>
      <c r="P61" s="194">
        <v>60</v>
      </c>
      <c r="Q61" s="255">
        <v>3</v>
      </c>
      <c r="R61" s="256">
        <v>4.25</v>
      </c>
      <c r="S61" s="194"/>
      <c r="T61" s="233">
        <v>5</v>
      </c>
      <c r="U61" s="234" t="s">
        <v>258</v>
      </c>
      <c r="V61" s="266">
        <v>0.1071</v>
      </c>
      <c r="W61" s="267">
        <v>16.05</v>
      </c>
      <c r="X61" s="267">
        <v>200.25</v>
      </c>
      <c r="Y61" s="267">
        <v>88.55000000000001</v>
      </c>
      <c r="Z61" s="267">
        <v>23.4</v>
      </c>
      <c r="AA61" s="267">
        <v>160.4</v>
      </c>
      <c r="AB61" s="206">
        <v>-4.38333333333334</v>
      </c>
      <c r="AC61" s="212">
        <v>115.44166666666666</v>
      </c>
      <c r="AD61" s="212">
        <v>1.45</v>
      </c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277"/>
    </row>
    <row r="62" spans="1:253" ht="15">
      <c r="A62" s="297"/>
      <c r="B62" s="293"/>
      <c r="C62" s="197">
        <v>3</v>
      </c>
      <c r="D62" s="193" t="s">
        <v>262</v>
      </c>
      <c r="E62" s="206">
        <v>736.2566666666667</v>
      </c>
      <c r="F62" s="206">
        <v>5.5</v>
      </c>
      <c r="G62" s="206" t="s">
        <v>336</v>
      </c>
      <c r="H62" s="207">
        <v>1</v>
      </c>
      <c r="I62" s="206">
        <v>70.38461538461539</v>
      </c>
      <c r="J62" s="206">
        <v>12</v>
      </c>
      <c r="K62" s="206">
        <v>2.1</v>
      </c>
      <c r="L62" s="206">
        <v>70</v>
      </c>
      <c r="M62" s="206">
        <v>15.1025</v>
      </c>
      <c r="N62" s="206">
        <v>2.2</v>
      </c>
      <c r="O62" s="206" t="s">
        <v>257</v>
      </c>
      <c r="P62" s="206">
        <v>69</v>
      </c>
      <c r="Q62" s="206">
        <v>3</v>
      </c>
      <c r="R62" s="235">
        <v>3.5</v>
      </c>
      <c r="S62" s="206"/>
      <c r="T62" s="207">
        <v>5</v>
      </c>
      <c r="U62" s="206" t="s">
        <v>268</v>
      </c>
      <c r="V62" s="266">
        <v>0.2188</v>
      </c>
      <c r="W62" s="267">
        <v>14.4</v>
      </c>
      <c r="X62" s="267">
        <v>227.1</v>
      </c>
      <c r="Y62" s="267">
        <v>88.6</v>
      </c>
      <c r="Z62" s="267">
        <v>25</v>
      </c>
      <c r="AA62" s="268">
        <v>167</v>
      </c>
      <c r="AB62" s="206">
        <v>-3</v>
      </c>
      <c r="AC62" s="206">
        <v>113.04</v>
      </c>
      <c r="AD62" s="206">
        <v>1.6</v>
      </c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277"/>
    </row>
    <row r="63" spans="1:253" ht="15">
      <c r="A63" s="304" t="s">
        <v>337</v>
      </c>
      <c r="B63" s="305"/>
      <c r="C63" s="197">
        <v>1</v>
      </c>
      <c r="D63" s="193" t="s">
        <v>338</v>
      </c>
      <c r="E63" s="198">
        <v>717.8009259259259</v>
      </c>
      <c r="F63" s="194"/>
      <c r="G63" s="194"/>
      <c r="H63" s="194">
        <v>4</v>
      </c>
      <c r="I63" s="206">
        <v>63</v>
      </c>
      <c r="J63" s="206">
        <v>45</v>
      </c>
      <c r="K63" s="206">
        <v>5.85</v>
      </c>
      <c r="L63" s="206">
        <v>80</v>
      </c>
      <c r="M63" s="206">
        <v>15.6535</v>
      </c>
      <c r="N63" s="206">
        <v>2.0714285714285716</v>
      </c>
      <c r="O63" s="206" t="s">
        <v>261</v>
      </c>
      <c r="P63" s="206">
        <v>64</v>
      </c>
      <c r="Q63" s="206">
        <v>3</v>
      </c>
      <c r="R63" s="235"/>
      <c r="S63" s="206"/>
      <c r="T63" s="207">
        <v>5</v>
      </c>
      <c r="U63" s="206" t="s">
        <v>258</v>
      </c>
      <c r="V63" s="266">
        <v>0.1429</v>
      </c>
      <c r="W63" s="267"/>
      <c r="X63" s="267"/>
      <c r="Y63" s="267"/>
      <c r="Z63" s="267"/>
      <c r="AA63" s="268"/>
      <c r="AB63" s="206"/>
      <c r="AC63" s="206">
        <v>111.85</v>
      </c>
      <c r="AD63" s="206">
        <v>1.3</v>
      </c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277"/>
    </row>
    <row r="64" spans="1:253" ht="15">
      <c r="A64" s="304"/>
      <c r="B64" s="305"/>
      <c r="C64" s="197">
        <v>2</v>
      </c>
      <c r="D64" s="193" t="s">
        <v>279</v>
      </c>
      <c r="E64" s="206">
        <v>714.3666666666668</v>
      </c>
      <c r="F64" s="225"/>
      <c r="G64" s="194"/>
      <c r="H64" s="226">
        <v>8</v>
      </c>
      <c r="I64" s="206">
        <v>68.30769230769232</v>
      </c>
      <c r="J64" s="212">
        <v>27</v>
      </c>
      <c r="K64" s="206">
        <v>7.4</v>
      </c>
      <c r="L64" s="212">
        <v>63</v>
      </c>
      <c r="M64" s="206">
        <v>16.6075</v>
      </c>
      <c r="N64" s="206">
        <v>1.9</v>
      </c>
      <c r="O64" s="194" t="s">
        <v>261</v>
      </c>
      <c r="P64" s="194">
        <v>64</v>
      </c>
      <c r="Q64" s="255">
        <v>3</v>
      </c>
      <c r="R64" s="256">
        <v>4.5</v>
      </c>
      <c r="S64" s="194"/>
      <c r="T64" s="233">
        <v>5</v>
      </c>
      <c r="U64" s="234" t="s">
        <v>292</v>
      </c>
      <c r="V64" s="266">
        <v>0.2069</v>
      </c>
      <c r="W64" s="267"/>
      <c r="X64" s="267"/>
      <c r="Y64" s="267"/>
      <c r="Z64" s="267"/>
      <c r="AA64" s="268"/>
      <c r="AB64" s="206"/>
      <c r="AC64" s="206">
        <v>113.26666666666667</v>
      </c>
      <c r="AD64" s="212">
        <v>2</v>
      </c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277"/>
    </row>
    <row r="65" spans="1:253" ht="15">
      <c r="A65" s="304"/>
      <c r="B65" s="305"/>
      <c r="C65" s="197">
        <v>3</v>
      </c>
      <c r="D65" s="193" t="s">
        <v>339</v>
      </c>
      <c r="E65" s="206">
        <v>697.9216666666666</v>
      </c>
      <c r="F65" s="206"/>
      <c r="G65" s="206"/>
      <c r="H65" s="207">
        <v>2</v>
      </c>
      <c r="I65" s="206">
        <v>71.53846153846153</v>
      </c>
      <c r="J65" s="206">
        <v>30</v>
      </c>
      <c r="K65" s="206">
        <v>4.8</v>
      </c>
      <c r="L65" s="206">
        <v>80</v>
      </c>
      <c r="M65" s="206">
        <v>16.4</v>
      </c>
      <c r="N65" s="206">
        <v>1.9</v>
      </c>
      <c r="O65" s="206" t="s">
        <v>265</v>
      </c>
      <c r="P65" s="206">
        <v>63</v>
      </c>
      <c r="Q65" s="206"/>
      <c r="R65" s="235"/>
      <c r="S65" s="206"/>
      <c r="T65" s="207"/>
      <c r="U65" s="206"/>
      <c r="V65" s="266">
        <v>0.07690000000000001</v>
      </c>
      <c r="W65" s="267"/>
      <c r="X65" s="267"/>
      <c r="Y65" s="267"/>
      <c r="Z65" s="267"/>
      <c r="AA65" s="268"/>
      <c r="AB65" s="206"/>
      <c r="AC65" s="206">
        <v>110.87</v>
      </c>
      <c r="AD65" s="206">
        <v>1.6</v>
      </c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277"/>
    </row>
  </sheetData>
  <sheetProtection/>
  <mergeCells count="45">
    <mergeCell ref="A63:B65"/>
    <mergeCell ref="C2:C3"/>
    <mergeCell ref="D2:D3"/>
    <mergeCell ref="AB2:AB3"/>
    <mergeCell ref="A17:B18"/>
    <mergeCell ref="A43:C44"/>
    <mergeCell ref="B56:B58"/>
    <mergeCell ref="A49:B51"/>
    <mergeCell ref="B52:B55"/>
    <mergeCell ref="B59:B62"/>
    <mergeCell ref="A30:A33"/>
    <mergeCell ref="A34:A37"/>
    <mergeCell ref="A38:A41"/>
    <mergeCell ref="A16:B16"/>
    <mergeCell ref="B30:B33"/>
    <mergeCell ref="B34:B37"/>
    <mergeCell ref="B38:B41"/>
    <mergeCell ref="A27:B27"/>
    <mergeCell ref="A28:B28"/>
    <mergeCell ref="A29:B29"/>
    <mergeCell ref="B23:B26"/>
    <mergeCell ref="A52:A55"/>
    <mergeCell ref="A56:A58"/>
    <mergeCell ref="A59:A62"/>
    <mergeCell ref="A42:C42"/>
    <mergeCell ref="A2:A3"/>
    <mergeCell ref="A4:A7"/>
    <mergeCell ref="A8:A11"/>
    <mergeCell ref="A12:A15"/>
    <mergeCell ref="A19:A22"/>
    <mergeCell ref="A23:A26"/>
    <mergeCell ref="B45:B48"/>
    <mergeCell ref="B4:B7"/>
    <mergeCell ref="B8:B11"/>
    <mergeCell ref="B12:B15"/>
    <mergeCell ref="B19:B22"/>
    <mergeCell ref="A45:A48"/>
    <mergeCell ref="A1:AD1"/>
    <mergeCell ref="E2:H2"/>
    <mergeCell ref="I2:P2"/>
    <mergeCell ref="Q2:V2"/>
    <mergeCell ref="W2:AA2"/>
    <mergeCell ref="B2:B3"/>
    <mergeCell ref="AC2:AC3"/>
    <mergeCell ref="AD2:A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9"/>
  <sheetViews>
    <sheetView zoomScalePageLayoutView="0" workbookViewId="0" topLeftCell="A1">
      <selection activeCell="F22" sqref="F22"/>
    </sheetView>
  </sheetViews>
  <sheetFormatPr defaultColWidth="9.00390625" defaultRowHeight="15"/>
  <sheetData>
    <row r="2" spans="1:23" ht="13.5">
      <c r="A2" s="310" t="s">
        <v>0</v>
      </c>
      <c r="B2" s="310" t="s">
        <v>1</v>
      </c>
      <c r="C2" s="167" t="s">
        <v>2</v>
      </c>
      <c r="D2" s="314" t="s">
        <v>3</v>
      </c>
      <c r="E2" s="167" t="s">
        <v>4</v>
      </c>
      <c r="F2" s="167" t="s">
        <v>5</v>
      </c>
      <c r="G2" s="168" t="s">
        <v>6</v>
      </c>
      <c r="H2" s="167" t="s">
        <v>7</v>
      </c>
      <c r="I2" s="168" t="s">
        <v>8</v>
      </c>
      <c r="J2" s="167" t="s">
        <v>9</v>
      </c>
      <c r="K2" s="168" t="s">
        <v>10</v>
      </c>
      <c r="L2" s="167" t="s">
        <v>11</v>
      </c>
      <c r="M2" s="168" t="s">
        <v>11</v>
      </c>
      <c r="N2" s="167" t="s">
        <v>12</v>
      </c>
      <c r="O2" s="168" t="s">
        <v>13</v>
      </c>
      <c r="P2" s="324" t="s">
        <v>14</v>
      </c>
      <c r="Q2" s="324"/>
      <c r="R2" s="324"/>
      <c r="S2" s="324"/>
      <c r="T2" s="167" t="s">
        <v>15</v>
      </c>
      <c r="U2" s="180" t="s">
        <v>16</v>
      </c>
      <c r="V2" s="181" t="s">
        <v>17</v>
      </c>
      <c r="W2" s="316" t="s">
        <v>18</v>
      </c>
    </row>
    <row r="3" spans="1:23" ht="13.5">
      <c r="A3" s="310"/>
      <c r="B3" s="310"/>
      <c r="C3" s="97" t="s">
        <v>19</v>
      </c>
      <c r="D3" s="315"/>
      <c r="E3" s="169" t="s">
        <v>20</v>
      </c>
      <c r="F3" s="169" t="s">
        <v>21</v>
      </c>
      <c r="G3" s="170" t="s">
        <v>22</v>
      </c>
      <c r="H3" s="169" t="s">
        <v>22</v>
      </c>
      <c r="I3" s="170" t="s">
        <v>23</v>
      </c>
      <c r="J3" s="169" t="s">
        <v>22</v>
      </c>
      <c r="K3" s="170" t="s">
        <v>23</v>
      </c>
      <c r="L3" s="169" t="s">
        <v>24</v>
      </c>
      <c r="M3" s="170" t="s">
        <v>25</v>
      </c>
      <c r="N3" s="169" t="s">
        <v>23</v>
      </c>
      <c r="O3" s="170" t="s">
        <v>26</v>
      </c>
      <c r="P3" s="65" t="s">
        <v>27</v>
      </c>
      <c r="Q3" s="65" t="s">
        <v>28</v>
      </c>
      <c r="R3" s="65" t="s">
        <v>29</v>
      </c>
      <c r="S3" s="65" t="s">
        <v>30</v>
      </c>
      <c r="T3" s="169" t="s">
        <v>31</v>
      </c>
      <c r="U3" s="182" t="s">
        <v>32</v>
      </c>
      <c r="V3" s="81" t="s">
        <v>33</v>
      </c>
      <c r="W3" s="317"/>
    </row>
    <row r="4" spans="1:23" ht="13.5">
      <c r="A4" s="310" t="s">
        <v>34</v>
      </c>
      <c r="B4" s="310" t="s">
        <v>35</v>
      </c>
      <c r="C4" s="319" t="s">
        <v>36</v>
      </c>
      <c r="D4" s="6" t="s">
        <v>37</v>
      </c>
      <c r="E4" s="58">
        <v>98</v>
      </c>
      <c r="F4" s="58">
        <v>155</v>
      </c>
      <c r="G4" s="58">
        <v>8.2</v>
      </c>
      <c r="H4" s="58">
        <v>27.73</v>
      </c>
      <c r="I4" s="58">
        <v>238.2</v>
      </c>
      <c r="J4" s="58">
        <v>18.33</v>
      </c>
      <c r="K4" s="58">
        <v>66.1</v>
      </c>
      <c r="L4" s="171">
        <v>107.8</v>
      </c>
      <c r="M4" s="171">
        <v>101.8</v>
      </c>
      <c r="N4" s="171">
        <v>94.4</v>
      </c>
      <c r="O4" s="171">
        <v>27</v>
      </c>
      <c r="P4" s="171">
        <v>12.15</v>
      </c>
      <c r="Q4" s="171">
        <v>12.36</v>
      </c>
      <c r="R4" s="171">
        <v>12.21</v>
      </c>
      <c r="S4" s="171">
        <v>12.24</v>
      </c>
      <c r="T4" s="171">
        <v>612</v>
      </c>
      <c r="U4" s="5">
        <v>4.1</v>
      </c>
      <c r="V4" s="45">
        <v>4</v>
      </c>
      <c r="W4" s="318" t="s">
        <v>38</v>
      </c>
    </row>
    <row r="5" spans="1:23" ht="13.5">
      <c r="A5" s="310"/>
      <c r="B5" s="310"/>
      <c r="C5" s="320"/>
      <c r="D5" s="6" t="s">
        <v>39</v>
      </c>
      <c r="E5" s="58">
        <v>94</v>
      </c>
      <c r="F5" s="58">
        <v>148</v>
      </c>
      <c r="G5" s="58">
        <v>7.3</v>
      </c>
      <c r="H5" s="58">
        <v>26.9</v>
      </c>
      <c r="I5" s="58">
        <v>268.49</v>
      </c>
      <c r="J5" s="58">
        <v>18.2</v>
      </c>
      <c r="K5" s="58">
        <v>67.66</v>
      </c>
      <c r="L5" s="58">
        <v>160.9</v>
      </c>
      <c r="M5" s="58">
        <v>150.1</v>
      </c>
      <c r="N5" s="58">
        <v>93.28</v>
      </c>
      <c r="O5" s="58">
        <v>27.12</v>
      </c>
      <c r="P5" s="58">
        <v>11.9</v>
      </c>
      <c r="Q5" s="58">
        <v>12.2</v>
      </c>
      <c r="R5" s="58">
        <v>12.4</v>
      </c>
      <c r="S5" s="58">
        <v>12.17</v>
      </c>
      <c r="T5" s="58">
        <v>608.5</v>
      </c>
      <c r="U5" s="5">
        <v>8.56378233719893</v>
      </c>
      <c r="V5" s="18">
        <v>2</v>
      </c>
      <c r="W5" s="318"/>
    </row>
    <row r="6" spans="1:23" ht="13.5">
      <c r="A6" s="310"/>
      <c r="B6" s="310"/>
      <c r="C6" s="320"/>
      <c r="D6" s="6" t="s">
        <v>40</v>
      </c>
      <c r="E6" s="171">
        <v>88</v>
      </c>
      <c r="F6" s="171">
        <v>151</v>
      </c>
      <c r="G6" s="171">
        <v>8.6</v>
      </c>
      <c r="H6" s="171">
        <v>30.42</v>
      </c>
      <c r="I6" s="171">
        <v>353.72</v>
      </c>
      <c r="J6" s="171">
        <v>18.27</v>
      </c>
      <c r="K6" s="171">
        <v>60.06</v>
      </c>
      <c r="L6" s="171">
        <v>140.53</v>
      </c>
      <c r="M6" s="171">
        <v>126.62</v>
      </c>
      <c r="N6" s="171">
        <v>91.52</v>
      </c>
      <c r="O6" s="171">
        <v>26.1</v>
      </c>
      <c r="P6" s="171">
        <v>12.76</v>
      </c>
      <c r="Q6" s="171">
        <v>12.85</v>
      </c>
      <c r="R6" s="171">
        <v>12.64</v>
      </c>
      <c r="S6" s="171">
        <v>12.75</v>
      </c>
      <c r="T6" s="171">
        <v>637.67</v>
      </c>
      <c r="U6" s="183">
        <v>7.3048833843772</v>
      </c>
      <c r="V6" s="45">
        <v>5</v>
      </c>
      <c r="W6" s="318"/>
    </row>
    <row r="7" spans="1:23" ht="13.5">
      <c r="A7" s="310"/>
      <c r="B7" s="310"/>
      <c r="C7" s="320"/>
      <c r="D7" s="6" t="s">
        <v>41</v>
      </c>
      <c r="E7" s="171">
        <v>95.9</v>
      </c>
      <c r="F7" s="171">
        <v>154</v>
      </c>
      <c r="G7" s="171">
        <v>7.08</v>
      </c>
      <c r="H7" s="171">
        <v>27.3</v>
      </c>
      <c r="I7" s="171">
        <v>285.6</v>
      </c>
      <c r="J7" s="171">
        <v>20.2</v>
      </c>
      <c r="K7" s="171">
        <v>74</v>
      </c>
      <c r="L7" s="179">
        <v>138.1</v>
      </c>
      <c r="M7" s="179">
        <v>130.3</v>
      </c>
      <c r="N7" s="179">
        <v>94.4</v>
      </c>
      <c r="O7" s="179">
        <v>26.6</v>
      </c>
      <c r="P7" s="179">
        <v>13.33</v>
      </c>
      <c r="Q7" s="179">
        <v>13.55</v>
      </c>
      <c r="R7" s="179">
        <v>13.63</v>
      </c>
      <c r="S7" s="179">
        <v>13.5</v>
      </c>
      <c r="T7" s="179">
        <v>675.2</v>
      </c>
      <c r="U7" s="183">
        <v>5.22050802555711</v>
      </c>
      <c r="V7" s="48">
        <v>1</v>
      </c>
      <c r="W7" s="318"/>
    </row>
    <row r="8" spans="1:23" ht="13.5">
      <c r="A8" s="310"/>
      <c r="B8" s="310"/>
      <c r="C8" s="320"/>
      <c r="D8" s="6" t="s">
        <v>42</v>
      </c>
      <c r="E8" s="171">
        <v>92.1</v>
      </c>
      <c r="F8" s="171">
        <v>163</v>
      </c>
      <c r="G8" s="171">
        <v>6</v>
      </c>
      <c r="H8" s="171">
        <v>21.34</v>
      </c>
      <c r="I8" s="171">
        <v>255.7</v>
      </c>
      <c r="J8" s="171">
        <v>17.07</v>
      </c>
      <c r="K8" s="171">
        <v>79.99</v>
      </c>
      <c r="L8" s="171">
        <v>147.95</v>
      </c>
      <c r="M8" s="171">
        <v>142</v>
      </c>
      <c r="N8" s="171">
        <v>95.98</v>
      </c>
      <c r="O8" s="171">
        <v>27.05</v>
      </c>
      <c r="P8" s="171">
        <v>13.3</v>
      </c>
      <c r="Q8" s="171">
        <v>13.88</v>
      </c>
      <c r="R8" s="171">
        <v>13.5</v>
      </c>
      <c r="S8" s="171">
        <v>13.56</v>
      </c>
      <c r="T8" s="171">
        <v>678</v>
      </c>
      <c r="U8" s="183">
        <v>-1.88133140376266</v>
      </c>
      <c r="V8" s="45">
        <v>11</v>
      </c>
      <c r="W8" s="318"/>
    </row>
    <row r="9" spans="1:23" ht="13.5">
      <c r="A9" s="310"/>
      <c r="B9" s="310"/>
      <c r="C9" s="320"/>
      <c r="D9" s="6" t="s">
        <v>43</v>
      </c>
      <c r="E9" s="171">
        <v>104.4</v>
      </c>
      <c r="F9" s="171">
        <v>154</v>
      </c>
      <c r="G9" s="171">
        <v>7.19</v>
      </c>
      <c r="H9" s="171">
        <v>26.45</v>
      </c>
      <c r="I9" s="171">
        <v>267.9</v>
      </c>
      <c r="J9" s="171">
        <v>21.34</v>
      </c>
      <c r="K9" s="171">
        <v>80.7</v>
      </c>
      <c r="L9" s="171">
        <v>127</v>
      </c>
      <c r="M9" s="171">
        <v>110</v>
      </c>
      <c r="N9" s="171">
        <v>87.19</v>
      </c>
      <c r="O9" s="171">
        <v>27.9</v>
      </c>
      <c r="P9" s="171">
        <v>14.6</v>
      </c>
      <c r="Q9" s="171">
        <v>15.59</v>
      </c>
      <c r="R9" s="171">
        <v>14.87</v>
      </c>
      <c r="S9" s="171">
        <v>15.02</v>
      </c>
      <c r="T9" s="171">
        <v>745</v>
      </c>
      <c r="U9" s="183">
        <v>3.65938500069569</v>
      </c>
      <c r="V9" s="45">
        <v>6</v>
      </c>
      <c r="W9" s="318"/>
    </row>
    <row r="10" spans="1:23" ht="13.5">
      <c r="A10" s="310"/>
      <c r="B10" s="310"/>
      <c r="C10" s="320"/>
      <c r="D10" s="6" t="s">
        <v>44</v>
      </c>
      <c r="E10" s="58">
        <v>98</v>
      </c>
      <c r="F10" s="58">
        <v>161</v>
      </c>
      <c r="G10" s="58">
        <v>8.4</v>
      </c>
      <c r="H10" s="58">
        <v>26.9</v>
      </c>
      <c r="I10" s="58">
        <v>220.2</v>
      </c>
      <c r="J10" s="58">
        <v>18.7</v>
      </c>
      <c r="K10" s="58">
        <v>69.5</v>
      </c>
      <c r="L10" s="58">
        <v>151</v>
      </c>
      <c r="M10" s="58">
        <v>133.2</v>
      </c>
      <c r="N10" s="58">
        <v>88.21</v>
      </c>
      <c r="O10" s="58">
        <v>25.3</v>
      </c>
      <c r="P10" s="58">
        <v>12.13</v>
      </c>
      <c r="Q10" s="58">
        <v>12.04</v>
      </c>
      <c r="R10" s="58">
        <v>12.02</v>
      </c>
      <c r="S10" s="58">
        <v>12.06</v>
      </c>
      <c r="T10" s="58">
        <v>603.17</v>
      </c>
      <c r="U10" s="5">
        <v>4.62619254119687</v>
      </c>
      <c r="V10" s="18">
        <v>11</v>
      </c>
      <c r="W10" s="318"/>
    </row>
    <row r="11" spans="1:23" ht="13.5">
      <c r="A11" s="310"/>
      <c r="B11" s="310"/>
      <c r="C11" s="320"/>
      <c r="D11" s="6" t="s">
        <v>45</v>
      </c>
      <c r="E11" s="58">
        <v>98</v>
      </c>
      <c r="F11" s="58">
        <v>156</v>
      </c>
      <c r="G11" s="58">
        <v>7.6</v>
      </c>
      <c r="H11" s="58">
        <v>28.9</v>
      </c>
      <c r="I11" s="58">
        <v>280.3</v>
      </c>
      <c r="J11" s="58">
        <v>19.1</v>
      </c>
      <c r="K11" s="58">
        <v>66.1</v>
      </c>
      <c r="L11" s="58">
        <v>136.2</v>
      </c>
      <c r="M11" s="58">
        <v>115.2</v>
      </c>
      <c r="N11" s="58">
        <v>84.58</v>
      </c>
      <c r="O11" s="58">
        <v>25.1</v>
      </c>
      <c r="P11" s="58">
        <v>12.05</v>
      </c>
      <c r="Q11" s="58">
        <v>12.13</v>
      </c>
      <c r="R11" s="58">
        <v>11.97</v>
      </c>
      <c r="S11" s="58">
        <v>12.05</v>
      </c>
      <c r="T11" s="58">
        <v>602.5</v>
      </c>
      <c r="U11" s="5">
        <v>-2.27088402270884</v>
      </c>
      <c r="V11" s="18">
        <v>13</v>
      </c>
      <c r="W11" s="318"/>
    </row>
    <row r="12" spans="1:23" ht="13.5">
      <c r="A12" s="310"/>
      <c r="B12" s="310"/>
      <c r="C12" s="320"/>
      <c r="D12" s="6" t="s">
        <v>46</v>
      </c>
      <c r="E12" s="58">
        <v>101</v>
      </c>
      <c r="F12" s="58">
        <v>157</v>
      </c>
      <c r="G12" s="58">
        <v>8.3</v>
      </c>
      <c r="H12" s="58">
        <v>23.8</v>
      </c>
      <c r="I12" s="58">
        <v>186.75</v>
      </c>
      <c r="J12" s="58">
        <v>16.2</v>
      </c>
      <c r="K12" s="58">
        <v>68.07</v>
      </c>
      <c r="L12" s="58">
        <v>160.6</v>
      </c>
      <c r="M12" s="58">
        <v>155.7</v>
      </c>
      <c r="N12" s="58">
        <v>96.97</v>
      </c>
      <c r="O12" s="58">
        <v>25.5</v>
      </c>
      <c r="P12" s="58">
        <v>13.38</v>
      </c>
      <c r="Q12" s="58">
        <v>13.01</v>
      </c>
      <c r="R12" s="58">
        <v>13</v>
      </c>
      <c r="S12" s="58">
        <v>13.13</v>
      </c>
      <c r="T12" s="58">
        <v>656.5</v>
      </c>
      <c r="U12" s="5">
        <v>7.97697368421053</v>
      </c>
      <c r="V12" s="18">
        <v>2</v>
      </c>
      <c r="W12" s="318"/>
    </row>
    <row r="13" spans="1:23" ht="13.5">
      <c r="A13" s="310"/>
      <c r="B13" s="310"/>
      <c r="C13" s="320"/>
      <c r="D13" s="29" t="s">
        <v>30</v>
      </c>
      <c r="E13" s="55">
        <v>96.6</v>
      </c>
      <c r="F13" s="55">
        <v>155.444444444444</v>
      </c>
      <c r="G13" s="55">
        <v>7.63</v>
      </c>
      <c r="H13" s="55">
        <v>26.6377777777778</v>
      </c>
      <c r="I13" s="55">
        <v>261.873333333333</v>
      </c>
      <c r="J13" s="55">
        <v>18.6011111111111</v>
      </c>
      <c r="K13" s="55">
        <v>70.2422222222222</v>
      </c>
      <c r="L13" s="55">
        <v>141.12</v>
      </c>
      <c r="M13" s="55">
        <v>129.435555555556</v>
      </c>
      <c r="N13" s="55">
        <v>91.8366666666667</v>
      </c>
      <c r="O13" s="55">
        <v>26.4077777777778</v>
      </c>
      <c r="P13" s="55">
        <v>12.8444444444444</v>
      </c>
      <c r="Q13" s="55">
        <v>13.0677777777778</v>
      </c>
      <c r="R13" s="55">
        <v>12.9155555555556</v>
      </c>
      <c r="S13" s="55">
        <v>12.9422222222222</v>
      </c>
      <c r="T13" s="55">
        <v>646.504444444444</v>
      </c>
      <c r="U13" s="22">
        <v>3.99312257824676</v>
      </c>
      <c r="V13" s="52">
        <v>7</v>
      </c>
      <c r="W13" s="318"/>
    </row>
    <row r="14" spans="1:23" ht="13.5">
      <c r="A14" s="310" t="s">
        <v>47</v>
      </c>
      <c r="B14" s="310"/>
      <c r="C14" s="321" t="s">
        <v>48</v>
      </c>
      <c r="D14" s="6" t="s">
        <v>39</v>
      </c>
      <c r="E14" s="45">
        <v>105</v>
      </c>
      <c r="F14" s="45">
        <v>153</v>
      </c>
      <c r="G14" s="45">
        <v>7.1</v>
      </c>
      <c r="H14" s="45">
        <v>34.4</v>
      </c>
      <c r="I14" s="45">
        <v>384.51</v>
      </c>
      <c r="J14" s="45">
        <v>23.8</v>
      </c>
      <c r="K14" s="45">
        <v>69.18</v>
      </c>
      <c r="L14" s="45">
        <v>124.2</v>
      </c>
      <c r="M14" s="45">
        <v>112.7</v>
      </c>
      <c r="N14" s="45">
        <v>90.74</v>
      </c>
      <c r="O14" s="45">
        <v>25.4</v>
      </c>
      <c r="P14" s="48">
        <v>12.75</v>
      </c>
      <c r="Q14" s="48">
        <v>13.05</v>
      </c>
      <c r="R14" s="48">
        <v>12.35</v>
      </c>
      <c r="S14" s="48">
        <v>12.72</v>
      </c>
      <c r="T14" s="48">
        <v>636</v>
      </c>
      <c r="U14" s="48"/>
      <c r="V14" s="45">
        <v>10</v>
      </c>
      <c r="W14" s="318"/>
    </row>
    <row r="15" spans="1:23" ht="13.5">
      <c r="A15" s="310"/>
      <c r="B15" s="310"/>
      <c r="C15" s="322"/>
      <c r="D15" s="6" t="s">
        <v>46</v>
      </c>
      <c r="E15" s="18">
        <v>109</v>
      </c>
      <c r="F15" s="18">
        <v>156</v>
      </c>
      <c r="G15" s="18">
        <v>8.3</v>
      </c>
      <c r="H15" s="18">
        <v>28.6</v>
      </c>
      <c r="I15" s="18">
        <v>244.6</v>
      </c>
      <c r="J15" s="18">
        <v>20</v>
      </c>
      <c r="K15" s="18">
        <v>70</v>
      </c>
      <c r="L15" s="18">
        <v>137.6</v>
      </c>
      <c r="M15" s="18">
        <v>117.5</v>
      </c>
      <c r="N15" s="18">
        <v>85.39</v>
      </c>
      <c r="O15" s="18">
        <v>25.43</v>
      </c>
      <c r="P15" s="18">
        <v>14.53</v>
      </c>
      <c r="Q15" s="18">
        <v>14.3</v>
      </c>
      <c r="R15" s="18">
        <v>15.28</v>
      </c>
      <c r="S15" s="18">
        <v>14.7</v>
      </c>
      <c r="T15" s="18">
        <v>735</v>
      </c>
      <c r="U15" s="18"/>
      <c r="V15" s="18">
        <v>3</v>
      </c>
      <c r="W15" s="318"/>
    </row>
    <row r="16" spans="1:23" ht="13.5">
      <c r="A16" s="310"/>
      <c r="B16" s="310"/>
      <c r="C16" s="322"/>
      <c r="D16" s="6" t="s">
        <v>41</v>
      </c>
      <c r="E16" s="45">
        <v>101.1</v>
      </c>
      <c r="F16" s="45">
        <v>162</v>
      </c>
      <c r="G16" s="45">
        <v>6.92</v>
      </c>
      <c r="H16" s="45">
        <v>30</v>
      </c>
      <c r="I16" s="45">
        <v>333.5</v>
      </c>
      <c r="J16" s="45">
        <v>23.3</v>
      </c>
      <c r="K16" s="45">
        <v>77.7</v>
      </c>
      <c r="L16" s="48">
        <v>127.8</v>
      </c>
      <c r="M16" s="48">
        <v>114.9</v>
      </c>
      <c r="N16" s="48">
        <v>89.9</v>
      </c>
      <c r="O16" s="48">
        <v>26.1</v>
      </c>
      <c r="P16" s="48">
        <v>14.64</v>
      </c>
      <c r="Q16" s="48">
        <v>14.89</v>
      </c>
      <c r="R16" s="48">
        <v>14.41</v>
      </c>
      <c r="S16" s="48">
        <v>14.65</v>
      </c>
      <c r="T16" s="48">
        <v>732.5</v>
      </c>
      <c r="U16" s="45"/>
      <c r="V16" s="48">
        <v>9</v>
      </c>
      <c r="W16" s="318"/>
    </row>
    <row r="17" spans="1:23" ht="13.5">
      <c r="A17" s="310"/>
      <c r="B17" s="310"/>
      <c r="C17" s="322"/>
      <c r="D17" s="6" t="s">
        <v>40</v>
      </c>
      <c r="E17" s="45">
        <v>100</v>
      </c>
      <c r="F17" s="45">
        <v>151</v>
      </c>
      <c r="G17" s="45">
        <v>7.67</v>
      </c>
      <c r="H17" s="45">
        <v>31.65</v>
      </c>
      <c r="I17" s="45">
        <v>412.65</v>
      </c>
      <c r="J17" s="45">
        <v>20.27</v>
      </c>
      <c r="K17" s="45">
        <v>64.04</v>
      </c>
      <c r="L17" s="45">
        <v>126.23</v>
      </c>
      <c r="M17" s="45">
        <v>118.29</v>
      </c>
      <c r="N17" s="45">
        <v>93.71</v>
      </c>
      <c r="O17" s="45">
        <v>24.2</v>
      </c>
      <c r="P17" s="45">
        <v>12.97</v>
      </c>
      <c r="Q17" s="45">
        <v>12.98</v>
      </c>
      <c r="R17" s="45">
        <v>12.99</v>
      </c>
      <c r="S17" s="45">
        <v>12.98</v>
      </c>
      <c r="T17" s="45">
        <v>648.92</v>
      </c>
      <c r="U17" s="45"/>
      <c r="V17" s="45">
        <v>6</v>
      </c>
      <c r="W17" s="318"/>
    </row>
    <row r="18" spans="1:23" ht="13.5">
      <c r="A18" s="310"/>
      <c r="B18" s="310"/>
      <c r="C18" s="322"/>
      <c r="D18" s="6" t="s">
        <v>42</v>
      </c>
      <c r="E18" s="45">
        <v>110</v>
      </c>
      <c r="F18" s="45">
        <v>169</v>
      </c>
      <c r="G18" s="45">
        <v>6</v>
      </c>
      <c r="H18" s="45">
        <v>35.4</v>
      </c>
      <c r="I18" s="45">
        <v>490</v>
      </c>
      <c r="J18" s="45">
        <v>24.5</v>
      </c>
      <c r="K18" s="45">
        <v>69.21</v>
      </c>
      <c r="L18" s="45">
        <v>110.37</v>
      </c>
      <c r="M18" s="45">
        <v>101.88</v>
      </c>
      <c r="N18" s="45">
        <v>92.31</v>
      </c>
      <c r="O18" s="45">
        <v>24.09</v>
      </c>
      <c r="P18" s="45">
        <v>11.74</v>
      </c>
      <c r="Q18" s="45">
        <v>11.71</v>
      </c>
      <c r="R18" s="45">
        <v>11.11</v>
      </c>
      <c r="S18" s="45">
        <v>11.52</v>
      </c>
      <c r="T18" s="45">
        <v>576</v>
      </c>
      <c r="U18" s="45"/>
      <c r="V18" s="45">
        <v>13</v>
      </c>
      <c r="W18" s="318"/>
    </row>
    <row r="19" spans="1:23" ht="13.5">
      <c r="A19" s="310"/>
      <c r="B19" s="310"/>
      <c r="C19" s="322"/>
      <c r="D19" s="6" t="s">
        <v>45</v>
      </c>
      <c r="E19" s="18">
        <v>106</v>
      </c>
      <c r="F19" s="18">
        <v>156</v>
      </c>
      <c r="G19" s="18">
        <v>7.6</v>
      </c>
      <c r="H19" s="18">
        <v>34.5</v>
      </c>
      <c r="I19" s="18">
        <v>353.9</v>
      </c>
      <c r="J19" s="18">
        <v>22.8</v>
      </c>
      <c r="K19" s="18">
        <v>66.1</v>
      </c>
      <c r="L19" s="18">
        <v>148.2</v>
      </c>
      <c r="M19" s="18">
        <v>123.8</v>
      </c>
      <c r="N19" s="18">
        <v>83.5</v>
      </c>
      <c r="O19" s="18">
        <v>25.7</v>
      </c>
      <c r="P19" s="18">
        <v>13.82</v>
      </c>
      <c r="Q19" s="18">
        <v>13.22</v>
      </c>
      <c r="R19" s="18">
        <v>13.38</v>
      </c>
      <c r="S19" s="18">
        <v>13.47</v>
      </c>
      <c r="T19" s="18">
        <v>673.7</v>
      </c>
      <c r="U19" s="18"/>
      <c r="V19" s="18">
        <v>1</v>
      </c>
      <c r="W19" s="318"/>
    </row>
    <row r="20" spans="1:23" ht="13.5">
      <c r="A20" s="310"/>
      <c r="B20" s="310"/>
      <c r="C20" s="322"/>
      <c r="D20" s="6" t="s">
        <v>49</v>
      </c>
      <c r="E20" s="18">
        <v>112</v>
      </c>
      <c r="F20" s="18">
        <v>160</v>
      </c>
      <c r="G20" s="18">
        <v>7.6</v>
      </c>
      <c r="H20" s="18">
        <v>33.3</v>
      </c>
      <c r="I20" s="18">
        <v>338.2</v>
      </c>
      <c r="J20" s="18">
        <v>22.6</v>
      </c>
      <c r="K20" s="18">
        <v>67.8</v>
      </c>
      <c r="L20" s="18">
        <v>140.9</v>
      </c>
      <c r="M20" s="18">
        <v>114</v>
      </c>
      <c r="N20" s="18">
        <v>80.9</v>
      </c>
      <c r="O20" s="18">
        <v>26.4</v>
      </c>
      <c r="P20" s="18">
        <v>13.82</v>
      </c>
      <c r="Q20" s="18">
        <v>12.49</v>
      </c>
      <c r="R20" s="18">
        <v>12.99</v>
      </c>
      <c r="S20" s="18">
        <v>13.1</v>
      </c>
      <c r="T20" s="18">
        <v>655</v>
      </c>
      <c r="U20" s="18"/>
      <c r="V20" s="18">
        <v>4</v>
      </c>
      <c r="W20" s="318"/>
    </row>
    <row r="21" spans="1:23" ht="13.5">
      <c r="A21" s="310"/>
      <c r="B21" s="310"/>
      <c r="C21" s="322"/>
      <c r="D21" s="6" t="s">
        <v>43</v>
      </c>
      <c r="E21" s="45">
        <v>105.4</v>
      </c>
      <c r="F21" s="45">
        <v>165</v>
      </c>
      <c r="G21" s="45">
        <v>7.84</v>
      </c>
      <c r="H21" s="45">
        <v>41.89</v>
      </c>
      <c r="I21" s="45">
        <v>434.31</v>
      </c>
      <c r="J21" s="45">
        <v>28.99</v>
      </c>
      <c r="K21" s="45">
        <v>69.21</v>
      </c>
      <c r="L21" s="45">
        <v>131</v>
      </c>
      <c r="M21" s="45">
        <v>105</v>
      </c>
      <c r="N21" s="45">
        <v>80.15</v>
      </c>
      <c r="O21" s="45">
        <v>25.9</v>
      </c>
      <c r="P21" s="45">
        <v>15.89</v>
      </c>
      <c r="Q21" s="45">
        <v>13.99</v>
      </c>
      <c r="R21" s="45">
        <v>16.46</v>
      </c>
      <c r="S21" s="45">
        <v>15.45</v>
      </c>
      <c r="T21" s="45">
        <v>681.19</v>
      </c>
      <c r="U21" s="45"/>
      <c r="V21" s="45">
        <v>12</v>
      </c>
      <c r="W21" s="318"/>
    </row>
    <row r="22" spans="1:23" ht="13.5">
      <c r="A22" s="310"/>
      <c r="B22" s="310"/>
      <c r="C22" s="322"/>
      <c r="D22" s="6" t="s">
        <v>37</v>
      </c>
      <c r="E22" s="18">
        <v>112.5</v>
      </c>
      <c r="F22" s="18">
        <v>161</v>
      </c>
      <c r="G22" s="18">
        <v>6.53</v>
      </c>
      <c r="H22" s="18">
        <v>30.3</v>
      </c>
      <c r="I22" s="18">
        <v>364</v>
      </c>
      <c r="J22" s="18">
        <v>19.8</v>
      </c>
      <c r="K22" s="18">
        <v>65</v>
      </c>
      <c r="L22" s="45">
        <v>121.9</v>
      </c>
      <c r="M22" s="45">
        <v>115.6</v>
      </c>
      <c r="N22" s="45">
        <v>89.5</v>
      </c>
      <c r="O22" s="45">
        <v>25.7</v>
      </c>
      <c r="P22" s="45">
        <v>12.17</v>
      </c>
      <c r="Q22" s="45">
        <v>12.45</v>
      </c>
      <c r="R22" s="45">
        <v>12.05</v>
      </c>
      <c r="S22" s="45">
        <v>12.22</v>
      </c>
      <c r="T22" s="45">
        <v>611</v>
      </c>
      <c r="U22" s="18"/>
      <c r="V22" s="45">
        <v>5</v>
      </c>
      <c r="W22" s="318"/>
    </row>
    <row r="23" spans="1:23" ht="13.5">
      <c r="A23" s="310"/>
      <c r="B23" s="310"/>
      <c r="C23" s="322"/>
      <c r="D23" s="6" t="s">
        <v>50</v>
      </c>
      <c r="E23" s="18">
        <v>102.8</v>
      </c>
      <c r="F23" s="18">
        <v>159</v>
      </c>
      <c r="G23" s="18">
        <v>6.9</v>
      </c>
      <c r="H23" s="18">
        <v>28.3</v>
      </c>
      <c r="I23" s="18">
        <v>310.1</v>
      </c>
      <c r="J23" s="18">
        <v>22.6</v>
      </c>
      <c r="K23" s="18">
        <v>79.9</v>
      </c>
      <c r="L23" s="18">
        <v>141</v>
      </c>
      <c r="M23" s="18">
        <v>126.7</v>
      </c>
      <c r="N23" s="18">
        <v>89.9</v>
      </c>
      <c r="O23" s="18">
        <v>23.2</v>
      </c>
      <c r="P23" s="18">
        <v>12.62</v>
      </c>
      <c r="Q23" s="18">
        <v>12.58</v>
      </c>
      <c r="R23" s="18">
        <v>12.71</v>
      </c>
      <c r="S23" s="18">
        <v>12.64</v>
      </c>
      <c r="T23" s="18">
        <v>633.59</v>
      </c>
      <c r="U23" s="54"/>
      <c r="V23" s="18">
        <v>3</v>
      </c>
      <c r="W23" s="318"/>
    </row>
    <row r="24" spans="1:23" ht="13.5">
      <c r="A24" s="310"/>
      <c r="B24" s="310"/>
      <c r="C24" s="323"/>
      <c r="D24" s="29" t="s">
        <v>30</v>
      </c>
      <c r="E24" s="22">
        <v>106.38</v>
      </c>
      <c r="F24" s="22">
        <v>159.2</v>
      </c>
      <c r="G24" s="22">
        <v>7.246</v>
      </c>
      <c r="H24" s="22">
        <v>32.834</v>
      </c>
      <c r="I24" s="22">
        <v>366.577</v>
      </c>
      <c r="J24" s="22">
        <v>22.866</v>
      </c>
      <c r="K24" s="22">
        <v>69.814</v>
      </c>
      <c r="L24" s="22">
        <v>130.92</v>
      </c>
      <c r="M24" s="22">
        <v>115.037</v>
      </c>
      <c r="N24" s="22">
        <v>87.6</v>
      </c>
      <c r="O24" s="22">
        <v>25.212</v>
      </c>
      <c r="P24" s="22">
        <v>13.495</v>
      </c>
      <c r="Q24" s="22">
        <v>13.166</v>
      </c>
      <c r="R24" s="22">
        <v>13.373</v>
      </c>
      <c r="S24" s="22">
        <v>13.3446666666667</v>
      </c>
      <c r="T24" s="22">
        <v>667.233333333333</v>
      </c>
      <c r="U24" s="22">
        <v>4.64763697197825</v>
      </c>
      <c r="V24" s="184">
        <v>8</v>
      </c>
      <c r="W24" s="318"/>
    </row>
    <row r="25" spans="1:23" ht="15">
      <c r="A25" s="310" t="s">
        <v>51</v>
      </c>
      <c r="B25" s="310"/>
      <c r="C25" s="311" t="s">
        <v>52</v>
      </c>
      <c r="D25" s="172" t="s">
        <v>53</v>
      </c>
      <c r="E25" s="173">
        <v>111</v>
      </c>
      <c r="F25" s="174">
        <v>156</v>
      </c>
      <c r="G25" s="173">
        <v>7.4</v>
      </c>
      <c r="H25" s="173">
        <v>33.6</v>
      </c>
      <c r="I25" s="173">
        <f aca="true" t="shared" si="0" ref="I25:I34">(H25-G25)/G25*100</f>
        <v>354.054054054054</v>
      </c>
      <c r="J25" s="173">
        <v>22.5</v>
      </c>
      <c r="K25" s="173">
        <f aca="true" t="shared" si="1" ref="K25:K34">J25/H25*100</f>
        <v>66.9642857142857</v>
      </c>
      <c r="L25" s="173">
        <v>131.1</v>
      </c>
      <c r="M25" s="173">
        <v>116.58</v>
      </c>
      <c r="N25" s="173">
        <v>88.93</v>
      </c>
      <c r="O25" s="173">
        <v>27.8</v>
      </c>
      <c r="P25" s="173">
        <v>213.07</v>
      </c>
      <c r="Q25" s="173">
        <v>224.9</v>
      </c>
      <c r="R25" s="173"/>
      <c r="S25" s="173">
        <f aca="true" t="shared" si="2" ref="S25:S34">AVERAGE(P25:Q25)</f>
        <v>218.985</v>
      </c>
      <c r="T25" s="185">
        <f>S25*3.33</f>
        <v>729.22005</v>
      </c>
      <c r="U25" s="186">
        <v>3.24611032531825</v>
      </c>
      <c r="V25" s="172">
        <v>2</v>
      </c>
      <c r="W25" s="318"/>
    </row>
    <row r="26" spans="1:23" ht="15">
      <c r="A26" s="310"/>
      <c r="B26" s="310"/>
      <c r="C26" s="312"/>
      <c r="D26" s="175" t="s">
        <v>54</v>
      </c>
      <c r="E26" s="173">
        <v>114.3</v>
      </c>
      <c r="F26" s="174">
        <v>149</v>
      </c>
      <c r="G26" s="173">
        <v>7.6</v>
      </c>
      <c r="H26" s="173">
        <v>34.9</v>
      </c>
      <c r="I26" s="173">
        <f t="shared" si="0"/>
        <v>359.210526315789</v>
      </c>
      <c r="J26" s="173">
        <v>24.4</v>
      </c>
      <c r="K26" s="173">
        <f t="shared" si="1"/>
        <v>69.9140401146132</v>
      </c>
      <c r="L26" s="173">
        <v>146.1</v>
      </c>
      <c r="M26" s="173">
        <v>139.1</v>
      </c>
      <c r="N26" s="173">
        <v>95.21</v>
      </c>
      <c r="O26" s="173">
        <v>26.2</v>
      </c>
      <c r="P26" s="173">
        <v>54.98</v>
      </c>
      <c r="Q26" s="173">
        <v>52.6</v>
      </c>
      <c r="R26" s="173"/>
      <c r="S26" s="173">
        <f t="shared" si="2"/>
        <v>53.79</v>
      </c>
      <c r="T26" s="185">
        <f>S26*12.5</f>
        <v>672.375</v>
      </c>
      <c r="U26" s="186">
        <v>8.95280534737695</v>
      </c>
      <c r="V26" s="172">
        <v>3</v>
      </c>
      <c r="W26" s="318"/>
    </row>
    <row r="27" spans="1:23" ht="15">
      <c r="A27" s="310"/>
      <c r="B27" s="310"/>
      <c r="C27" s="312"/>
      <c r="D27" s="175" t="s">
        <v>55</v>
      </c>
      <c r="E27" s="173">
        <v>96.8</v>
      </c>
      <c r="F27" s="174">
        <v>147</v>
      </c>
      <c r="G27" s="173">
        <v>6.84</v>
      </c>
      <c r="H27" s="173">
        <v>23.94</v>
      </c>
      <c r="I27" s="173">
        <f t="shared" si="0"/>
        <v>250</v>
      </c>
      <c r="J27" s="173">
        <v>21</v>
      </c>
      <c r="K27" s="173">
        <f t="shared" si="1"/>
        <v>87.719298245614</v>
      </c>
      <c r="L27" s="173">
        <v>147.38</v>
      </c>
      <c r="M27" s="173">
        <v>135.79</v>
      </c>
      <c r="N27" s="173">
        <v>92.1</v>
      </c>
      <c r="O27" s="173">
        <v>26.78</v>
      </c>
      <c r="P27" s="173">
        <v>187.6</v>
      </c>
      <c r="Q27" s="173">
        <v>194.4</v>
      </c>
      <c r="R27" s="173"/>
      <c r="S27" s="173">
        <f t="shared" si="2"/>
        <v>191</v>
      </c>
      <c r="T27" s="185">
        <f>S27*3.472</f>
        <v>663.152</v>
      </c>
      <c r="U27" s="186">
        <v>2.05717339032862</v>
      </c>
      <c r="V27" s="172">
        <v>2</v>
      </c>
      <c r="W27" s="318"/>
    </row>
    <row r="28" spans="1:23" ht="15">
      <c r="A28" s="310"/>
      <c r="B28" s="310"/>
      <c r="C28" s="312"/>
      <c r="D28" s="175" t="s">
        <v>56</v>
      </c>
      <c r="E28" s="173">
        <v>105.3</v>
      </c>
      <c r="F28" s="174">
        <v>151</v>
      </c>
      <c r="G28" s="173">
        <v>5.7</v>
      </c>
      <c r="H28" s="173">
        <v>27.9</v>
      </c>
      <c r="I28" s="173">
        <f t="shared" si="0"/>
        <v>389.473684210526</v>
      </c>
      <c r="J28" s="173">
        <v>20.8</v>
      </c>
      <c r="K28" s="173">
        <f t="shared" si="1"/>
        <v>74.5519713261649</v>
      </c>
      <c r="L28" s="173">
        <v>145.1</v>
      </c>
      <c r="M28" s="173">
        <v>129.5</v>
      </c>
      <c r="N28" s="173">
        <v>89.3</v>
      </c>
      <c r="O28" s="173">
        <v>25.2</v>
      </c>
      <c r="P28" s="173">
        <v>225</v>
      </c>
      <c r="Q28" s="173">
        <v>230</v>
      </c>
      <c r="R28" s="173"/>
      <c r="S28" s="173">
        <f t="shared" si="2"/>
        <v>227.5</v>
      </c>
      <c r="T28" s="185">
        <f>S28*3.333</f>
        <v>758.2575</v>
      </c>
      <c r="U28" s="186">
        <v>6.55737704918033</v>
      </c>
      <c r="V28" s="172">
        <v>2</v>
      </c>
      <c r="W28" s="318"/>
    </row>
    <row r="29" spans="1:23" ht="15">
      <c r="A29" s="310"/>
      <c r="B29" s="310"/>
      <c r="C29" s="312"/>
      <c r="D29" s="175" t="s">
        <v>57</v>
      </c>
      <c r="E29" s="173">
        <v>98</v>
      </c>
      <c r="F29" s="174">
        <v>152</v>
      </c>
      <c r="G29" s="173">
        <v>8.2</v>
      </c>
      <c r="H29" s="173">
        <v>37.58</v>
      </c>
      <c r="I29" s="173">
        <f t="shared" si="0"/>
        <v>358.292682926829</v>
      </c>
      <c r="J29" s="173">
        <v>23.9</v>
      </c>
      <c r="K29" s="173">
        <f t="shared" si="1"/>
        <v>63.5976583288984</v>
      </c>
      <c r="L29" s="173">
        <v>146.67</v>
      </c>
      <c r="M29" s="173">
        <v>126.13</v>
      </c>
      <c r="N29" s="173">
        <v>86.8</v>
      </c>
      <c r="O29" s="173">
        <v>25.15</v>
      </c>
      <c r="P29" s="173">
        <v>198.3</v>
      </c>
      <c r="Q29" s="173">
        <v>203.1</v>
      </c>
      <c r="R29" s="173"/>
      <c r="S29" s="173">
        <f t="shared" si="2"/>
        <v>200.7</v>
      </c>
      <c r="T29" s="185">
        <f>S29*3.333</f>
        <v>668.9331</v>
      </c>
      <c r="U29" s="186">
        <v>2.2518850621561</v>
      </c>
      <c r="V29" s="172">
        <v>2</v>
      </c>
      <c r="W29" s="318"/>
    </row>
    <row r="30" spans="1:23" ht="15">
      <c r="A30" s="310"/>
      <c r="B30" s="310"/>
      <c r="C30" s="312"/>
      <c r="D30" s="175" t="s">
        <v>58</v>
      </c>
      <c r="E30" s="173">
        <v>105.5</v>
      </c>
      <c r="F30" s="174">
        <v>149</v>
      </c>
      <c r="G30" s="173">
        <v>9.4</v>
      </c>
      <c r="H30" s="173">
        <v>43.1</v>
      </c>
      <c r="I30" s="173">
        <f t="shared" si="0"/>
        <v>358.510638297872</v>
      </c>
      <c r="J30" s="173">
        <v>25.9</v>
      </c>
      <c r="K30" s="173">
        <f t="shared" si="1"/>
        <v>60.092807424594</v>
      </c>
      <c r="L30" s="173">
        <v>133.8</v>
      </c>
      <c r="M30" s="173">
        <v>127.7</v>
      </c>
      <c r="N30" s="173">
        <v>95.4</v>
      </c>
      <c r="O30" s="173">
        <v>27</v>
      </c>
      <c r="P30" s="173">
        <v>403.25</v>
      </c>
      <c r="Q30" s="173">
        <v>379.3</v>
      </c>
      <c r="R30" s="173"/>
      <c r="S30" s="173">
        <f t="shared" si="2"/>
        <v>391.275</v>
      </c>
      <c r="T30" s="185">
        <f>S30*2.008</f>
        <v>785.6802</v>
      </c>
      <c r="U30" s="186">
        <v>4.61898395721926</v>
      </c>
      <c r="V30" s="172">
        <v>2</v>
      </c>
      <c r="W30" s="318"/>
    </row>
    <row r="31" spans="1:23" ht="15">
      <c r="A31" s="310"/>
      <c r="B31" s="310"/>
      <c r="C31" s="312"/>
      <c r="D31" s="175" t="s">
        <v>59</v>
      </c>
      <c r="E31" s="173">
        <v>103</v>
      </c>
      <c r="F31" s="174">
        <v>156</v>
      </c>
      <c r="G31" s="173">
        <v>8.88</v>
      </c>
      <c r="H31" s="173">
        <v>30.47</v>
      </c>
      <c r="I31" s="173">
        <f t="shared" si="0"/>
        <v>243.130630630631</v>
      </c>
      <c r="J31" s="173">
        <v>19.69</v>
      </c>
      <c r="K31" s="173">
        <f t="shared" si="1"/>
        <v>64.6209386281589</v>
      </c>
      <c r="L31" s="173">
        <v>142.63</v>
      </c>
      <c r="M31" s="173">
        <v>136.42</v>
      </c>
      <c r="N31" s="173">
        <v>95.65</v>
      </c>
      <c r="O31" s="173">
        <v>26.5</v>
      </c>
      <c r="P31" s="173">
        <v>187.4</v>
      </c>
      <c r="Q31" s="173">
        <v>186.5</v>
      </c>
      <c r="R31" s="173"/>
      <c r="S31" s="173">
        <f t="shared" si="2"/>
        <v>186.95</v>
      </c>
      <c r="T31" s="185">
        <f>S31*3.333</f>
        <v>623.10435</v>
      </c>
      <c r="U31" s="186">
        <v>-5.19776876267749</v>
      </c>
      <c r="V31" s="172">
        <v>4</v>
      </c>
      <c r="W31" s="318"/>
    </row>
    <row r="32" spans="1:23" ht="15">
      <c r="A32" s="310"/>
      <c r="B32" s="310"/>
      <c r="C32" s="312"/>
      <c r="D32" s="175" t="s">
        <v>60</v>
      </c>
      <c r="E32" s="173">
        <v>110</v>
      </c>
      <c r="F32" s="174">
        <v>142</v>
      </c>
      <c r="G32" s="173">
        <v>7.36</v>
      </c>
      <c r="H32" s="173">
        <v>32.4</v>
      </c>
      <c r="I32" s="173">
        <f t="shared" si="0"/>
        <v>340.217391304348</v>
      </c>
      <c r="J32" s="173">
        <v>20.16</v>
      </c>
      <c r="K32" s="173">
        <f t="shared" si="1"/>
        <v>62.2222222222222</v>
      </c>
      <c r="L32" s="173">
        <v>137.5</v>
      </c>
      <c r="M32" s="173">
        <v>129.9</v>
      </c>
      <c r="N32" s="173">
        <v>94.5</v>
      </c>
      <c r="O32" s="173">
        <v>23.7</v>
      </c>
      <c r="P32" s="173">
        <v>342.3</v>
      </c>
      <c r="Q32" s="173">
        <v>339.8</v>
      </c>
      <c r="R32" s="173"/>
      <c r="S32" s="173">
        <f t="shared" si="2"/>
        <v>341.05</v>
      </c>
      <c r="T32" s="185">
        <f>S32*2.083</f>
        <v>710.40715</v>
      </c>
      <c r="U32" s="186">
        <v>0.6641086186541</v>
      </c>
      <c r="V32" s="172">
        <v>2</v>
      </c>
      <c r="W32" s="318"/>
    </row>
    <row r="33" spans="1:23" ht="15">
      <c r="A33" s="310"/>
      <c r="B33" s="310"/>
      <c r="C33" s="312"/>
      <c r="D33" s="175" t="s">
        <v>61</v>
      </c>
      <c r="E33" s="173">
        <v>109</v>
      </c>
      <c r="F33" s="174">
        <v>151</v>
      </c>
      <c r="G33" s="173">
        <v>7</v>
      </c>
      <c r="H33" s="173">
        <v>32.56</v>
      </c>
      <c r="I33" s="173">
        <f t="shared" si="0"/>
        <v>365.142857142857</v>
      </c>
      <c r="J33" s="173">
        <v>21.7</v>
      </c>
      <c r="K33" s="173">
        <f t="shared" si="1"/>
        <v>66.6461916461916</v>
      </c>
      <c r="L33" s="173">
        <v>139.6</v>
      </c>
      <c r="M33" s="173">
        <v>126.1</v>
      </c>
      <c r="N33" s="173">
        <v>90.3</v>
      </c>
      <c r="O33" s="173">
        <v>26.2</v>
      </c>
      <c r="P33" s="173">
        <v>376.6</v>
      </c>
      <c r="Q33" s="173">
        <v>369.3</v>
      </c>
      <c r="R33" s="173"/>
      <c r="S33" s="173">
        <f t="shared" si="2"/>
        <v>372.95</v>
      </c>
      <c r="T33" s="185">
        <f>S33*2</f>
        <v>745.9</v>
      </c>
      <c r="U33" s="186">
        <v>5.78641327471283</v>
      </c>
      <c r="V33" s="172">
        <v>1</v>
      </c>
      <c r="W33" s="318"/>
    </row>
    <row r="34" spans="1:23" ht="15">
      <c r="A34" s="310"/>
      <c r="B34" s="310"/>
      <c r="C34" s="312"/>
      <c r="D34" s="175" t="s">
        <v>62</v>
      </c>
      <c r="E34" s="173">
        <v>103.8</v>
      </c>
      <c r="F34" s="174">
        <v>147</v>
      </c>
      <c r="G34" s="173">
        <v>8.5</v>
      </c>
      <c r="H34" s="173">
        <v>34.13</v>
      </c>
      <c r="I34" s="173">
        <f t="shared" si="0"/>
        <v>301.529411764706</v>
      </c>
      <c r="J34" s="173">
        <v>25.58</v>
      </c>
      <c r="K34" s="173">
        <f t="shared" si="1"/>
        <v>74.9487254614708</v>
      </c>
      <c r="L34" s="173">
        <v>136.2</v>
      </c>
      <c r="M34" s="173">
        <v>124.3</v>
      </c>
      <c r="N34" s="173">
        <v>91.26</v>
      </c>
      <c r="O34" s="173">
        <v>26.1</v>
      </c>
      <c r="P34" s="173">
        <v>182.1</v>
      </c>
      <c r="Q34" s="173">
        <v>170.45</v>
      </c>
      <c r="R34" s="173"/>
      <c r="S34" s="173">
        <f t="shared" si="2"/>
        <v>176.275</v>
      </c>
      <c r="T34" s="185">
        <f>S34*3.998</f>
        <v>704.74745</v>
      </c>
      <c r="U34" s="186">
        <v>12.6861855142875</v>
      </c>
      <c r="V34" s="172">
        <v>1</v>
      </c>
      <c r="W34" s="318"/>
    </row>
    <row r="35" spans="1:23" ht="14.25">
      <c r="A35" s="310"/>
      <c r="B35" s="310"/>
      <c r="C35" s="313"/>
      <c r="D35" s="176" t="s">
        <v>30</v>
      </c>
      <c r="E35" s="177">
        <f aca="true" t="shared" si="3" ref="E35:Q35">AVERAGE(E25:E34)</f>
        <v>105.67</v>
      </c>
      <c r="F35" s="178">
        <f t="shared" si="3"/>
        <v>150</v>
      </c>
      <c r="G35" s="177">
        <f t="shared" si="3"/>
        <v>7.688</v>
      </c>
      <c r="H35" s="177">
        <f t="shared" si="3"/>
        <v>33.058</v>
      </c>
      <c r="I35" s="177">
        <f t="shared" si="3"/>
        <v>331.956187664761</v>
      </c>
      <c r="J35" s="177">
        <f t="shared" si="3"/>
        <v>22.563</v>
      </c>
      <c r="K35" s="177">
        <f t="shared" si="3"/>
        <v>69.1278139112214</v>
      </c>
      <c r="L35" s="177">
        <f t="shared" si="3"/>
        <v>140.608</v>
      </c>
      <c r="M35" s="177">
        <f t="shared" si="3"/>
        <v>129.152</v>
      </c>
      <c r="N35" s="177">
        <f t="shared" si="3"/>
        <v>91.945</v>
      </c>
      <c r="O35" s="177">
        <f t="shared" si="3"/>
        <v>26.063</v>
      </c>
      <c r="P35" s="177">
        <f t="shared" si="3"/>
        <v>237.06</v>
      </c>
      <c r="Q35" s="177">
        <f t="shared" si="3"/>
        <v>235.035</v>
      </c>
      <c r="R35" s="177"/>
      <c r="S35" s="177">
        <f>AVERAGE(S25:S34)</f>
        <v>236.0475</v>
      </c>
      <c r="T35" s="177">
        <f>AVERAGE(T25:T34)</f>
        <v>706.17768</v>
      </c>
      <c r="U35" s="177">
        <f>(T35-T61)/T61*100</f>
        <v>5.27401940233772</v>
      </c>
      <c r="V35" s="187">
        <v>2</v>
      </c>
      <c r="W35" s="318"/>
    </row>
    <row r="36" spans="1:23" ht="13.5">
      <c r="A36" s="310" t="s">
        <v>34</v>
      </c>
      <c r="B36" s="310" t="s">
        <v>63</v>
      </c>
      <c r="C36" s="319" t="s">
        <v>64</v>
      </c>
      <c r="D36" s="6" t="s">
        <v>37</v>
      </c>
      <c r="E36" s="58">
        <v>100</v>
      </c>
      <c r="F36" s="58">
        <v>157</v>
      </c>
      <c r="G36" s="58">
        <v>9.53</v>
      </c>
      <c r="H36" s="58">
        <v>32.6</v>
      </c>
      <c r="I36" s="58">
        <v>242</v>
      </c>
      <c r="J36" s="58">
        <v>21.33</v>
      </c>
      <c r="K36" s="58">
        <v>65.4</v>
      </c>
      <c r="L36" s="171">
        <v>114</v>
      </c>
      <c r="M36" s="171">
        <v>107.4</v>
      </c>
      <c r="N36" s="171">
        <v>94.2</v>
      </c>
      <c r="O36" s="171">
        <v>26.3</v>
      </c>
      <c r="P36" s="171">
        <v>11.54</v>
      </c>
      <c r="Q36" s="171">
        <v>11.33</v>
      </c>
      <c r="R36" s="171">
        <v>11.89</v>
      </c>
      <c r="S36" s="171">
        <v>11.59</v>
      </c>
      <c r="T36" s="171">
        <v>579.5</v>
      </c>
      <c r="U36" s="5">
        <v>-1.4</v>
      </c>
      <c r="V36" s="45">
        <v>7</v>
      </c>
      <c r="W36" s="318"/>
    </row>
    <row r="37" spans="1:23" ht="13.5">
      <c r="A37" s="310"/>
      <c r="B37" s="310"/>
      <c r="C37" s="320"/>
      <c r="D37" s="6" t="s">
        <v>39</v>
      </c>
      <c r="E37" s="58">
        <v>98</v>
      </c>
      <c r="F37" s="58">
        <v>148</v>
      </c>
      <c r="G37" s="58">
        <v>7.7</v>
      </c>
      <c r="H37" s="58">
        <v>31</v>
      </c>
      <c r="I37" s="58">
        <v>302.6</v>
      </c>
      <c r="J37" s="58">
        <v>20.6</v>
      </c>
      <c r="K37" s="58">
        <v>66.45</v>
      </c>
      <c r="L37" s="58">
        <v>139.3</v>
      </c>
      <c r="M37" s="58">
        <v>133.2</v>
      </c>
      <c r="N37" s="58">
        <v>95.62</v>
      </c>
      <c r="O37" s="58">
        <v>26.2</v>
      </c>
      <c r="P37" s="58">
        <v>12.2</v>
      </c>
      <c r="Q37" s="58">
        <v>12.41</v>
      </c>
      <c r="R37" s="58">
        <v>11.9</v>
      </c>
      <c r="S37" s="58">
        <v>12.17</v>
      </c>
      <c r="T37" s="58">
        <v>608.5</v>
      </c>
      <c r="U37" s="5">
        <v>8.56378233719893</v>
      </c>
      <c r="V37" s="18">
        <v>2</v>
      </c>
      <c r="W37" s="318"/>
    </row>
    <row r="38" spans="1:23" ht="13.5">
      <c r="A38" s="310"/>
      <c r="B38" s="310"/>
      <c r="C38" s="320"/>
      <c r="D38" s="6" t="s">
        <v>40</v>
      </c>
      <c r="E38" s="171">
        <v>89</v>
      </c>
      <c r="F38" s="171">
        <v>152</v>
      </c>
      <c r="G38" s="171">
        <v>7.75</v>
      </c>
      <c r="H38" s="171">
        <v>29.64</v>
      </c>
      <c r="I38" s="171">
        <v>382.45</v>
      </c>
      <c r="J38" s="171">
        <v>18.67</v>
      </c>
      <c r="K38" s="171">
        <v>62.99</v>
      </c>
      <c r="L38" s="171">
        <v>142.82</v>
      </c>
      <c r="M38" s="171">
        <v>130.47</v>
      </c>
      <c r="N38" s="171">
        <v>91.35</v>
      </c>
      <c r="O38" s="171">
        <v>24.5</v>
      </c>
      <c r="P38" s="171">
        <v>12.18</v>
      </c>
      <c r="Q38" s="171">
        <v>12.5</v>
      </c>
      <c r="R38" s="171">
        <v>12.61</v>
      </c>
      <c r="S38" s="171">
        <v>12.43</v>
      </c>
      <c r="T38" s="171">
        <v>621.57</v>
      </c>
      <c r="U38" s="183">
        <v>4.59563154174941</v>
      </c>
      <c r="V38" s="45">
        <v>8</v>
      </c>
      <c r="W38" s="318"/>
    </row>
    <row r="39" spans="1:23" ht="13.5">
      <c r="A39" s="310"/>
      <c r="B39" s="310"/>
      <c r="C39" s="320"/>
      <c r="D39" s="6" t="s">
        <v>41</v>
      </c>
      <c r="E39" s="171">
        <v>98</v>
      </c>
      <c r="F39" s="171">
        <v>156</v>
      </c>
      <c r="G39" s="171">
        <v>7.5</v>
      </c>
      <c r="H39" s="171">
        <v>28.8</v>
      </c>
      <c r="I39" s="171">
        <v>284</v>
      </c>
      <c r="J39" s="171">
        <v>21</v>
      </c>
      <c r="K39" s="171">
        <v>72.9</v>
      </c>
      <c r="L39" s="179">
        <v>138.9</v>
      </c>
      <c r="M39" s="179">
        <v>128.8</v>
      </c>
      <c r="N39" s="179">
        <v>92.7</v>
      </c>
      <c r="O39" s="179">
        <v>26.3</v>
      </c>
      <c r="P39" s="179">
        <v>13.12</v>
      </c>
      <c r="Q39" s="179">
        <v>12.92</v>
      </c>
      <c r="R39" s="179">
        <v>13.07</v>
      </c>
      <c r="S39" s="179">
        <v>13.04</v>
      </c>
      <c r="T39" s="179">
        <v>651.8</v>
      </c>
      <c r="U39" s="183">
        <v>1.57394421069034</v>
      </c>
      <c r="V39" s="48">
        <v>7</v>
      </c>
      <c r="W39" s="318"/>
    </row>
    <row r="40" spans="1:23" ht="13.5">
      <c r="A40" s="310"/>
      <c r="B40" s="310"/>
      <c r="C40" s="320"/>
      <c r="D40" s="6" t="s">
        <v>42</v>
      </c>
      <c r="E40" s="171">
        <v>99.6</v>
      </c>
      <c r="F40" s="171">
        <v>162</v>
      </c>
      <c r="G40" s="171">
        <v>6</v>
      </c>
      <c r="H40" s="171">
        <v>24.27</v>
      </c>
      <c r="I40" s="171">
        <v>304.5</v>
      </c>
      <c r="J40" s="171">
        <v>18.53</v>
      </c>
      <c r="K40" s="171">
        <v>76.35</v>
      </c>
      <c r="L40" s="171">
        <v>149.22</v>
      </c>
      <c r="M40" s="171">
        <v>146</v>
      </c>
      <c r="N40" s="171">
        <v>97.84</v>
      </c>
      <c r="O40" s="171">
        <v>26.15</v>
      </c>
      <c r="P40" s="171">
        <v>13.53</v>
      </c>
      <c r="Q40" s="171">
        <v>13.91</v>
      </c>
      <c r="R40" s="171">
        <v>14.56</v>
      </c>
      <c r="S40" s="171">
        <v>14</v>
      </c>
      <c r="T40" s="171">
        <v>700</v>
      </c>
      <c r="U40" s="183">
        <v>1.30246020260492</v>
      </c>
      <c r="V40" s="45">
        <v>8</v>
      </c>
      <c r="W40" s="318"/>
    </row>
    <row r="41" spans="1:23" ht="13.5">
      <c r="A41" s="310"/>
      <c r="B41" s="310"/>
      <c r="C41" s="320"/>
      <c r="D41" s="6" t="s">
        <v>43</v>
      </c>
      <c r="E41" s="171">
        <v>101.2</v>
      </c>
      <c r="F41" s="171">
        <v>153</v>
      </c>
      <c r="G41" s="171">
        <v>7.17</v>
      </c>
      <c r="H41" s="171">
        <v>28.58</v>
      </c>
      <c r="I41" s="171">
        <v>298.6</v>
      </c>
      <c r="J41" s="171">
        <v>21.01</v>
      </c>
      <c r="K41" s="171">
        <v>73.5</v>
      </c>
      <c r="L41" s="171">
        <v>148</v>
      </c>
      <c r="M41" s="171">
        <v>109</v>
      </c>
      <c r="N41" s="171">
        <v>73.62</v>
      </c>
      <c r="O41" s="171">
        <v>26.4</v>
      </c>
      <c r="P41" s="171">
        <v>14.18</v>
      </c>
      <c r="Q41" s="171">
        <v>14.51</v>
      </c>
      <c r="R41" s="171">
        <v>15.49</v>
      </c>
      <c r="S41" s="171">
        <v>14.73</v>
      </c>
      <c r="T41" s="171">
        <v>730.6</v>
      </c>
      <c r="U41" s="183">
        <v>1.65576735772923</v>
      </c>
      <c r="V41" s="45">
        <v>9</v>
      </c>
      <c r="W41" s="318"/>
    </row>
    <row r="42" spans="1:23" ht="13.5">
      <c r="A42" s="310"/>
      <c r="B42" s="310"/>
      <c r="C42" s="320"/>
      <c r="D42" s="6" t="s">
        <v>44</v>
      </c>
      <c r="E42" s="58">
        <v>102</v>
      </c>
      <c r="F42" s="58">
        <v>157</v>
      </c>
      <c r="G42" s="58">
        <v>7.5</v>
      </c>
      <c r="H42" s="58">
        <v>29.8</v>
      </c>
      <c r="I42" s="58">
        <v>297.3</v>
      </c>
      <c r="J42" s="58">
        <v>18.5</v>
      </c>
      <c r="K42" s="58">
        <v>62.1</v>
      </c>
      <c r="L42" s="58">
        <v>150.6</v>
      </c>
      <c r="M42" s="58">
        <v>138.2</v>
      </c>
      <c r="N42" s="58">
        <v>91.77</v>
      </c>
      <c r="O42" s="58">
        <v>25.2</v>
      </c>
      <c r="P42" s="58">
        <v>12.45</v>
      </c>
      <c r="Q42" s="58">
        <v>13.2</v>
      </c>
      <c r="R42" s="58">
        <v>12.22</v>
      </c>
      <c r="S42" s="58">
        <v>12.62</v>
      </c>
      <c r="T42" s="58">
        <v>631.17</v>
      </c>
      <c r="U42" s="5">
        <v>9.48308759757155</v>
      </c>
      <c r="V42" s="18">
        <v>4</v>
      </c>
      <c r="W42" s="318"/>
    </row>
    <row r="43" spans="1:23" ht="13.5">
      <c r="A43" s="310"/>
      <c r="B43" s="310"/>
      <c r="C43" s="320"/>
      <c r="D43" s="6" t="s">
        <v>45</v>
      </c>
      <c r="E43" s="58">
        <v>99</v>
      </c>
      <c r="F43" s="58">
        <v>153</v>
      </c>
      <c r="G43" s="58">
        <v>7.8</v>
      </c>
      <c r="H43" s="58">
        <v>31.5</v>
      </c>
      <c r="I43" s="58">
        <v>303.8</v>
      </c>
      <c r="J43" s="58">
        <v>20.7</v>
      </c>
      <c r="K43" s="58">
        <v>65.7</v>
      </c>
      <c r="L43" s="58">
        <v>149</v>
      </c>
      <c r="M43" s="58">
        <v>142.8</v>
      </c>
      <c r="N43" s="58">
        <v>91.77</v>
      </c>
      <c r="O43" s="58">
        <v>26.3</v>
      </c>
      <c r="P43" s="58">
        <v>13.62</v>
      </c>
      <c r="Q43" s="58">
        <v>13.52</v>
      </c>
      <c r="R43" s="58">
        <v>13.6</v>
      </c>
      <c r="S43" s="58">
        <v>13.58</v>
      </c>
      <c r="T43" s="58">
        <v>679</v>
      </c>
      <c r="U43" s="5">
        <v>10.1378751013788</v>
      </c>
      <c r="V43" s="18">
        <v>2</v>
      </c>
      <c r="W43" s="318"/>
    </row>
    <row r="44" spans="1:23" ht="13.5">
      <c r="A44" s="310"/>
      <c r="B44" s="310"/>
      <c r="C44" s="320"/>
      <c r="D44" s="6" t="s">
        <v>46</v>
      </c>
      <c r="E44" s="58">
        <v>109</v>
      </c>
      <c r="F44" s="58">
        <v>157</v>
      </c>
      <c r="G44" s="58">
        <v>8.6</v>
      </c>
      <c r="H44" s="58">
        <v>23.7</v>
      </c>
      <c r="I44" s="58">
        <v>175.58</v>
      </c>
      <c r="J44" s="58">
        <v>16.8</v>
      </c>
      <c r="K44" s="58">
        <v>70.89</v>
      </c>
      <c r="L44" s="58">
        <v>155</v>
      </c>
      <c r="M44" s="58">
        <v>145.89</v>
      </c>
      <c r="N44" s="58">
        <v>93.8</v>
      </c>
      <c r="O44" s="58">
        <v>27.5</v>
      </c>
      <c r="P44" s="58">
        <v>13.02</v>
      </c>
      <c r="Q44" s="58">
        <v>13.15</v>
      </c>
      <c r="R44" s="58">
        <v>13.16</v>
      </c>
      <c r="S44" s="58">
        <v>13.11</v>
      </c>
      <c r="T44" s="58">
        <v>655.5</v>
      </c>
      <c r="U44" s="5">
        <v>7.8125</v>
      </c>
      <c r="V44" s="18">
        <v>3</v>
      </c>
      <c r="W44" s="318"/>
    </row>
    <row r="45" spans="1:23" ht="13.5">
      <c r="A45" s="310"/>
      <c r="B45" s="310"/>
      <c r="C45" s="320"/>
      <c r="D45" s="29" t="s">
        <v>30</v>
      </c>
      <c r="E45" s="55">
        <v>99.5333333333333</v>
      </c>
      <c r="F45" s="55">
        <v>155</v>
      </c>
      <c r="G45" s="55">
        <v>7.72777777777778</v>
      </c>
      <c r="H45" s="55">
        <v>28.8766666666667</v>
      </c>
      <c r="I45" s="55">
        <v>287.87</v>
      </c>
      <c r="J45" s="55">
        <v>19.6822222222222</v>
      </c>
      <c r="K45" s="55">
        <v>68.4755555555556</v>
      </c>
      <c r="L45" s="55">
        <v>142.982222222222</v>
      </c>
      <c r="M45" s="55">
        <v>131.306666666667</v>
      </c>
      <c r="N45" s="55">
        <v>91.4077777777778</v>
      </c>
      <c r="O45" s="55">
        <v>26.0944444444444</v>
      </c>
      <c r="P45" s="55">
        <v>12.8711111111111</v>
      </c>
      <c r="Q45" s="55">
        <v>13.05</v>
      </c>
      <c r="R45" s="55">
        <v>13.1666666666667</v>
      </c>
      <c r="S45" s="55">
        <v>13.03</v>
      </c>
      <c r="T45" s="55">
        <v>650.848888888889</v>
      </c>
      <c r="U45" s="22">
        <v>4.69194583851642</v>
      </c>
      <c r="V45" s="52">
        <v>4</v>
      </c>
      <c r="W45" s="318"/>
    </row>
    <row r="46" spans="1:23" ht="13.5">
      <c r="A46" s="310" t="s">
        <v>47</v>
      </c>
      <c r="B46" s="310"/>
      <c r="C46" s="321" t="s">
        <v>65</v>
      </c>
      <c r="D46" s="6" t="s">
        <v>39</v>
      </c>
      <c r="E46" s="45">
        <v>101</v>
      </c>
      <c r="F46" s="45">
        <v>151</v>
      </c>
      <c r="G46" s="45">
        <v>7.6</v>
      </c>
      <c r="H46" s="45">
        <v>29.1</v>
      </c>
      <c r="I46" s="45">
        <v>282.89</v>
      </c>
      <c r="J46" s="45">
        <v>19.8</v>
      </c>
      <c r="K46" s="45">
        <v>68.04</v>
      </c>
      <c r="L46" s="45">
        <v>143.3</v>
      </c>
      <c r="M46" s="45">
        <v>122.8</v>
      </c>
      <c r="N46" s="45">
        <v>85.67</v>
      </c>
      <c r="O46" s="45">
        <v>26.7</v>
      </c>
      <c r="P46" s="48">
        <v>13</v>
      </c>
      <c r="Q46" s="48">
        <v>12.5</v>
      </c>
      <c r="R46" s="48">
        <v>12.45</v>
      </c>
      <c r="S46" s="48">
        <v>12.65</v>
      </c>
      <c r="T46" s="48">
        <v>632.5</v>
      </c>
      <c r="U46" s="48"/>
      <c r="V46" s="45">
        <v>11</v>
      </c>
      <c r="W46" s="318"/>
    </row>
    <row r="47" spans="1:23" ht="13.5">
      <c r="A47" s="310"/>
      <c r="B47" s="310"/>
      <c r="C47" s="322"/>
      <c r="D47" s="6" t="s">
        <v>46</v>
      </c>
      <c r="E47" s="18">
        <v>102</v>
      </c>
      <c r="F47" s="18">
        <v>149</v>
      </c>
      <c r="G47" s="18">
        <v>7.6</v>
      </c>
      <c r="H47" s="18">
        <v>26.8</v>
      </c>
      <c r="I47" s="18">
        <v>253.6</v>
      </c>
      <c r="J47" s="18">
        <v>19.4</v>
      </c>
      <c r="K47" s="18">
        <v>72.4</v>
      </c>
      <c r="L47" s="18">
        <v>160.45</v>
      </c>
      <c r="M47" s="18">
        <v>124.86</v>
      </c>
      <c r="N47" s="18">
        <v>77.82</v>
      </c>
      <c r="O47" s="18">
        <v>25.78</v>
      </c>
      <c r="P47" s="18">
        <v>14.9</v>
      </c>
      <c r="Q47" s="18">
        <v>15.35</v>
      </c>
      <c r="R47" s="18">
        <v>15.5</v>
      </c>
      <c r="S47" s="18">
        <v>15.25</v>
      </c>
      <c r="T47" s="18">
        <v>762.5</v>
      </c>
      <c r="U47" s="18"/>
      <c r="V47" s="18">
        <v>2</v>
      </c>
      <c r="W47" s="318"/>
    </row>
    <row r="48" spans="1:23" ht="13.5">
      <c r="A48" s="310"/>
      <c r="B48" s="310"/>
      <c r="C48" s="322"/>
      <c r="D48" s="6" t="s">
        <v>41</v>
      </c>
      <c r="E48" s="45">
        <v>99.4</v>
      </c>
      <c r="F48" s="45">
        <v>163</v>
      </c>
      <c r="G48" s="45">
        <v>7.22</v>
      </c>
      <c r="H48" s="45">
        <v>28.7</v>
      </c>
      <c r="I48" s="45">
        <v>297.5</v>
      </c>
      <c r="J48" s="45">
        <v>21.7</v>
      </c>
      <c r="K48" s="45">
        <v>75.6</v>
      </c>
      <c r="L48" s="48">
        <v>135.8</v>
      </c>
      <c r="M48" s="48">
        <v>118.6</v>
      </c>
      <c r="N48" s="48">
        <v>87.3</v>
      </c>
      <c r="O48" s="48">
        <v>28.7</v>
      </c>
      <c r="P48" s="48">
        <v>14.22</v>
      </c>
      <c r="Q48" s="48">
        <v>14.64</v>
      </c>
      <c r="R48" s="48">
        <v>14.16</v>
      </c>
      <c r="S48" s="48">
        <v>14.34</v>
      </c>
      <c r="T48" s="48">
        <v>717</v>
      </c>
      <c r="U48" s="45"/>
      <c r="V48" s="48">
        <v>10</v>
      </c>
      <c r="W48" s="318"/>
    </row>
    <row r="49" spans="1:23" ht="13.5">
      <c r="A49" s="310"/>
      <c r="B49" s="310"/>
      <c r="C49" s="322"/>
      <c r="D49" s="6" t="s">
        <v>40</v>
      </c>
      <c r="E49" s="45">
        <v>98</v>
      </c>
      <c r="F49" s="45">
        <v>141</v>
      </c>
      <c r="G49" s="45">
        <v>8</v>
      </c>
      <c r="H49" s="45">
        <v>31.78</v>
      </c>
      <c r="I49" s="45">
        <v>397.25</v>
      </c>
      <c r="J49" s="45">
        <v>22.47</v>
      </c>
      <c r="K49" s="45">
        <v>70.7</v>
      </c>
      <c r="L49" s="45">
        <v>127.64</v>
      </c>
      <c r="M49" s="45">
        <v>109.76</v>
      </c>
      <c r="N49" s="45">
        <v>85.99</v>
      </c>
      <c r="O49" s="45">
        <v>24.6</v>
      </c>
      <c r="P49" s="45">
        <v>13.06</v>
      </c>
      <c r="Q49" s="45">
        <v>13.02</v>
      </c>
      <c r="R49" s="45">
        <v>13.06</v>
      </c>
      <c r="S49" s="45">
        <v>13.05</v>
      </c>
      <c r="T49" s="45">
        <v>652.35</v>
      </c>
      <c r="U49" s="45"/>
      <c r="V49" s="45">
        <v>5</v>
      </c>
      <c r="W49" s="318"/>
    </row>
    <row r="50" spans="1:23" ht="13.5">
      <c r="A50" s="310"/>
      <c r="B50" s="310"/>
      <c r="C50" s="322"/>
      <c r="D50" s="6" t="s">
        <v>42</v>
      </c>
      <c r="E50" s="45">
        <v>107.2</v>
      </c>
      <c r="F50" s="45">
        <v>166</v>
      </c>
      <c r="G50" s="45">
        <v>6</v>
      </c>
      <c r="H50" s="45">
        <v>34.65</v>
      </c>
      <c r="I50" s="45">
        <v>477.5</v>
      </c>
      <c r="J50" s="45">
        <v>24.25</v>
      </c>
      <c r="K50" s="45">
        <v>69.99</v>
      </c>
      <c r="L50" s="45">
        <v>123.55</v>
      </c>
      <c r="M50" s="45">
        <v>105.6</v>
      </c>
      <c r="N50" s="45">
        <v>85.47</v>
      </c>
      <c r="O50" s="45">
        <v>26.43</v>
      </c>
      <c r="P50" s="45">
        <v>12.86</v>
      </c>
      <c r="Q50" s="45">
        <v>13.12</v>
      </c>
      <c r="R50" s="45">
        <v>12.66</v>
      </c>
      <c r="S50" s="45">
        <v>12.88</v>
      </c>
      <c r="T50" s="45">
        <v>644</v>
      </c>
      <c r="U50" s="45"/>
      <c r="V50" s="45">
        <v>2</v>
      </c>
      <c r="W50" s="318"/>
    </row>
    <row r="51" spans="1:23" ht="13.5">
      <c r="A51" s="310"/>
      <c r="B51" s="310"/>
      <c r="C51" s="322"/>
      <c r="D51" s="6" t="s">
        <v>45</v>
      </c>
      <c r="E51" s="18">
        <v>97</v>
      </c>
      <c r="F51" s="18">
        <v>155</v>
      </c>
      <c r="G51" s="18">
        <v>7.5</v>
      </c>
      <c r="H51" s="18">
        <v>31.3</v>
      </c>
      <c r="I51" s="18">
        <v>317.3</v>
      </c>
      <c r="J51" s="18">
        <v>21.4</v>
      </c>
      <c r="K51" s="18">
        <v>68.4</v>
      </c>
      <c r="L51" s="18">
        <v>152.3</v>
      </c>
      <c r="M51" s="18">
        <v>127.5</v>
      </c>
      <c r="N51" s="18">
        <v>83.7</v>
      </c>
      <c r="O51" s="18">
        <v>25.9</v>
      </c>
      <c r="P51" s="18">
        <v>12.26</v>
      </c>
      <c r="Q51" s="18">
        <v>12.42</v>
      </c>
      <c r="R51" s="18">
        <v>12.98</v>
      </c>
      <c r="S51" s="18">
        <v>12.55</v>
      </c>
      <c r="T51" s="18">
        <v>627.7</v>
      </c>
      <c r="U51" s="18"/>
      <c r="V51" s="18">
        <v>10</v>
      </c>
      <c r="W51" s="318"/>
    </row>
    <row r="52" spans="1:23" ht="13.5">
      <c r="A52" s="310"/>
      <c r="B52" s="310"/>
      <c r="C52" s="322"/>
      <c r="D52" s="6" t="s">
        <v>49</v>
      </c>
      <c r="E52" s="18">
        <v>109</v>
      </c>
      <c r="F52" s="18">
        <v>158</v>
      </c>
      <c r="G52" s="18">
        <v>8.5</v>
      </c>
      <c r="H52" s="18">
        <v>30.2</v>
      </c>
      <c r="I52" s="18">
        <v>255.3</v>
      </c>
      <c r="J52" s="18">
        <v>20.4</v>
      </c>
      <c r="K52" s="18">
        <v>67.5</v>
      </c>
      <c r="L52" s="18">
        <v>145.7</v>
      </c>
      <c r="M52" s="18">
        <v>89.5</v>
      </c>
      <c r="N52" s="18">
        <v>61.4</v>
      </c>
      <c r="O52" s="18">
        <v>28</v>
      </c>
      <c r="P52" s="18">
        <v>12.38</v>
      </c>
      <c r="Q52" s="18">
        <v>12.77</v>
      </c>
      <c r="R52" s="18">
        <v>13.18</v>
      </c>
      <c r="S52" s="18">
        <v>12.78</v>
      </c>
      <c r="T52" s="18">
        <v>638.8</v>
      </c>
      <c r="U52" s="18"/>
      <c r="V52" s="18">
        <v>9</v>
      </c>
      <c r="W52" s="318"/>
    </row>
    <row r="53" spans="1:23" ht="13.5">
      <c r="A53" s="310"/>
      <c r="B53" s="310"/>
      <c r="C53" s="322"/>
      <c r="D53" s="6" t="s">
        <v>43</v>
      </c>
      <c r="E53" s="45">
        <v>101</v>
      </c>
      <c r="F53" s="45">
        <v>161</v>
      </c>
      <c r="G53" s="45">
        <v>8.38</v>
      </c>
      <c r="H53" s="45">
        <v>25.35</v>
      </c>
      <c r="I53" s="45">
        <v>202.5</v>
      </c>
      <c r="J53" s="45">
        <v>22.43</v>
      </c>
      <c r="K53" s="45">
        <v>88.48</v>
      </c>
      <c r="L53" s="45">
        <v>146</v>
      </c>
      <c r="M53" s="45">
        <v>100</v>
      </c>
      <c r="N53" s="45">
        <v>68.77</v>
      </c>
      <c r="O53" s="45">
        <v>26.2</v>
      </c>
      <c r="P53" s="45">
        <v>11.43</v>
      </c>
      <c r="Q53" s="45">
        <v>13.59</v>
      </c>
      <c r="R53" s="45">
        <v>9.63</v>
      </c>
      <c r="S53" s="45">
        <v>11.55</v>
      </c>
      <c r="T53" s="45">
        <v>509.24</v>
      </c>
      <c r="U53" s="45"/>
      <c r="V53" s="45">
        <v>14</v>
      </c>
      <c r="W53" s="318"/>
    </row>
    <row r="54" spans="1:23" ht="13.5">
      <c r="A54" s="310"/>
      <c r="B54" s="310"/>
      <c r="C54" s="322"/>
      <c r="D54" s="6" t="s">
        <v>37</v>
      </c>
      <c r="E54" s="18">
        <v>106</v>
      </c>
      <c r="F54" s="18">
        <v>160</v>
      </c>
      <c r="G54" s="18">
        <v>7.33</v>
      </c>
      <c r="H54" s="18">
        <v>28.7</v>
      </c>
      <c r="I54" s="18">
        <v>292</v>
      </c>
      <c r="J54" s="18">
        <v>18.5</v>
      </c>
      <c r="K54" s="18">
        <v>64</v>
      </c>
      <c r="L54" s="45">
        <v>135.9</v>
      </c>
      <c r="M54" s="45">
        <v>125.5</v>
      </c>
      <c r="N54" s="45">
        <v>84.3</v>
      </c>
      <c r="O54" s="45">
        <v>26.3</v>
      </c>
      <c r="P54" s="45">
        <v>12.46</v>
      </c>
      <c r="Q54" s="45">
        <v>12.22</v>
      </c>
      <c r="R54" s="45">
        <v>12.77</v>
      </c>
      <c r="S54" s="45">
        <v>12.48</v>
      </c>
      <c r="T54" s="45">
        <v>624</v>
      </c>
      <c r="U54" s="18"/>
      <c r="V54" s="45">
        <v>4</v>
      </c>
      <c r="W54" s="318"/>
    </row>
    <row r="55" spans="1:23" ht="13.5">
      <c r="A55" s="310"/>
      <c r="B55" s="310"/>
      <c r="C55" s="322"/>
      <c r="D55" s="6" t="s">
        <v>50</v>
      </c>
      <c r="E55" s="18">
        <v>102</v>
      </c>
      <c r="F55" s="18">
        <v>155</v>
      </c>
      <c r="G55" s="18">
        <v>6.7</v>
      </c>
      <c r="H55" s="18">
        <v>27.2</v>
      </c>
      <c r="I55" s="18">
        <v>306</v>
      </c>
      <c r="J55" s="18">
        <v>21.8</v>
      </c>
      <c r="K55" s="18">
        <v>80.1</v>
      </c>
      <c r="L55" s="18">
        <v>142.3</v>
      </c>
      <c r="M55" s="18">
        <v>115.8</v>
      </c>
      <c r="N55" s="18">
        <v>81.4</v>
      </c>
      <c r="O55" s="18">
        <v>24</v>
      </c>
      <c r="P55" s="18">
        <v>11.98</v>
      </c>
      <c r="Q55" s="18">
        <v>11.37</v>
      </c>
      <c r="R55" s="18">
        <v>11.74</v>
      </c>
      <c r="S55" s="18">
        <v>11.7</v>
      </c>
      <c r="T55" s="18">
        <v>586.47</v>
      </c>
      <c r="U55" s="54"/>
      <c r="V55" s="18">
        <v>11</v>
      </c>
      <c r="W55" s="318"/>
    </row>
    <row r="56" spans="1:23" ht="13.5">
      <c r="A56" s="310"/>
      <c r="B56" s="310"/>
      <c r="C56" s="323"/>
      <c r="D56" s="29" t="s">
        <v>30</v>
      </c>
      <c r="E56" s="22">
        <v>102.26</v>
      </c>
      <c r="F56" s="22">
        <v>155.9</v>
      </c>
      <c r="G56" s="22">
        <v>7.483</v>
      </c>
      <c r="H56" s="22">
        <v>29.378</v>
      </c>
      <c r="I56" s="22">
        <v>308.184</v>
      </c>
      <c r="J56" s="22">
        <v>21.215</v>
      </c>
      <c r="K56" s="22">
        <v>72.521</v>
      </c>
      <c r="L56" s="22">
        <v>141.294</v>
      </c>
      <c r="M56" s="22">
        <v>113.992</v>
      </c>
      <c r="N56" s="22">
        <v>80.182</v>
      </c>
      <c r="O56" s="22">
        <v>26.261</v>
      </c>
      <c r="P56" s="22">
        <v>12.855</v>
      </c>
      <c r="Q56" s="22">
        <v>13.1</v>
      </c>
      <c r="R56" s="22">
        <v>12.813</v>
      </c>
      <c r="S56" s="22">
        <v>12.9226666666667</v>
      </c>
      <c r="T56" s="22">
        <v>646.133333333333</v>
      </c>
      <c r="U56" s="22">
        <v>1.33835215391049</v>
      </c>
      <c r="V56" s="184">
        <v>11</v>
      </c>
      <c r="W56" s="318"/>
    </row>
    <row r="57" spans="1:23" ht="15">
      <c r="A57" s="310" t="s">
        <v>51</v>
      </c>
      <c r="B57" s="310"/>
      <c r="C57" s="311" t="s">
        <v>66</v>
      </c>
      <c r="D57" s="175" t="s">
        <v>67</v>
      </c>
      <c r="E57" s="173">
        <v>108</v>
      </c>
      <c r="F57" s="174">
        <v>154</v>
      </c>
      <c r="G57" s="173">
        <v>7.6</v>
      </c>
      <c r="H57" s="173">
        <v>34.71</v>
      </c>
      <c r="I57" s="173">
        <f aca="true" t="shared" si="4" ref="I57:I66">(H57-G57)/G57*100</f>
        <v>356.710526315789</v>
      </c>
      <c r="J57" s="173">
        <v>20.6</v>
      </c>
      <c r="K57" s="173">
        <f aca="true" t="shared" si="5" ref="K57:K66">J57/H57*100</f>
        <v>59.348890809565</v>
      </c>
      <c r="L57" s="173">
        <v>145.3</v>
      </c>
      <c r="M57" s="173">
        <v>125.7</v>
      </c>
      <c r="N57" s="173">
        <v>86.51</v>
      </c>
      <c r="O57" s="173">
        <v>25.9</v>
      </c>
      <c r="P57" s="173">
        <v>206.05</v>
      </c>
      <c r="Q57" s="173">
        <v>196.7</v>
      </c>
      <c r="R57" s="173"/>
      <c r="S57" s="173">
        <f aca="true" t="shared" si="6" ref="S57:S66">AVERAGE(P57:Q57)</f>
        <v>201.375</v>
      </c>
      <c r="T57" s="185">
        <f>S57*3.33</f>
        <v>670.57875</v>
      </c>
      <c r="U57" s="186">
        <v>-5.05657708628006</v>
      </c>
      <c r="V57" s="172">
        <v>4</v>
      </c>
      <c r="W57" s="318"/>
    </row>
    <row r="58" spans="1:23" ht="15">
      <c r="A58" s="310"/>
      <c r="B58" s="310"/>
      <c r="C58" s="312"/>
      <c r="D58" s="175" t="s">
        <v>54</v>
      </c>
      <c r="E58" s="173">
        <v>107.3</v>
      </c>
      <c r="F58" s="174">
        <v>148</v>
      </c>
      <c r="G58" s="173">
        <v>8</v>
      </c>
      <c r="H58" s="173">
        <v>34.6</v>
      </c>
      <c r="I58" s="173">
        <f t="shared" si="4"/>
        <v>332.5</v>
      </c>
      <c r="J58" s="173">
        <v>24</v>
      </c>
      <c r="K58" s="173">
        <f t="shared" si="5"/>
        <v>69.364161849711</v>
      </c>
      <c r="L58" s="173">
        <v>142.9</v>
      </c>
      <c r="M58" s="173">
        <v>135.8</v>
      </c>
      <c r="N58" s="173">
        <v>95.03</v>
      </c>
      <c r="O58" s="173">
        <v>28.3</v>
      </c>
      <c r="P58" s="173">
        <v>56.29</v>
      </c>
      <c r="Q58" s="173">
        <v>54.15</v>
      </c>
      <c r="R58" s="173"/>
      <c r="S58" s="173">
        <f t="shared" si="6"/>
        <v>55.22</v>
      </c>
      <c r="T58" s="185">
        <f>S58*12.5</f>
        <v>690.25</v>
      </c>
      <c r="U58" s="186">
        <v>11.8493011950577</v>
      </c>
      <c r="V58" s="172">
        <v>1</v>
      </c>
      <c r="W58" s="318"/>
    </row>
    <row r="59" spans="1:23" ht="15">
      <c r="A59" s="310"/>
      <c r="B59" s="310"/>
      <c r="C59" s="312"/>
      <c r="D59" s="175" t="s">
        <v>55</v>
      </c>
      <c r="E59" s="173">
        <v>94.4</v>
      </c>
      <c r="F59" s="174">
        <v>146</v>
      </c>
      <c r="G59" s="173">
        <v>6.84</v>
      </c>
      <c r="H59" s="173">
        <v>23.47</v>
      </c>
      <c r="I59" s="173">
        <f t="shared" si="4"/>
        <v>243.12865497076</v>
      </c>
      <c r="J59" s="173">
        <v>19.5</v>
      </c>
      <c r="K59" s="173">
        <f t="shared" si="5"/>
        <v>83.0847890924585</v>
      </c>
      <c r="L59" s="173">
        <v>149.9</v>
      </c>
      <c r="M59" s="173">
        <v>137.59</v>
      </c>
      <c r="N59" s="173">
        <v>91.8</v>
      </c>
      <c r="O59" s="173">
        <v>26.44</v>
      </c>
      <c r="P59" s="173">
        <v>192.6</v>
      </c>
      <c r="Q59" s="173">
        <v>190.8</v>
      </c>
      <c r="R59" s="173"/>
      <c r="S59" s="173">
        <f t="shared" si="6"/>
        <v>191.7</v>
      </c>
      <c r="T59" s="185">
        <f>S59*3.472</f>
        <v>665.5824</v>
      </c>
      <c r="U59" s="186">
        <v>2.4312049158429</v>
      </c>
      <c r="V59" s="172">
        <v>1</v>
      </c>
      <c r="W59" s="318"/>
    </row>
    <row r="60" spans="1:23" ht="15">
      <c r="A60" s="310"/>
      <c r="B60" s="310"/>
      <c r="C60" s="312"/>
      <c r="D60" s="175" t="s">
        <v>56</v>
      </c>
      <c r="E60" s="173">
        <v>104.1</v>
      </c>
      <c r="F60" s="174">
        <v>149</v>
      </c>
      <c r="G60" s="173">
        <v>5.7</v>
      </c>
      <c r="H60" s="173">
        <v>25.3</v>
      </c>
      <c r="I60" s="173">
        <f t="shared" si="4"/>
        <v>343.859649122807</v>
      </c>
      <c r="J60" s="173">
        <v>20.3</v>
      </c>
      <c r="K60" s="173">
        <f t="shared" si="5"/>
        <v>80.2371541501976</v>
      </c>
      <c r="L60" s="173">
        <v>144.5</v>
      </c>
      <c r="M60" s="173">
        <v>132.4</v>
      </c>
      <c r="N60" s="173">
        <v>91.6</v>
      </c>
      <c r="O60" s="173">
        <v>24.8</v>
      </c>
      <c r="P60" s="173">
        <v>222</v>
      </c>
      <c r="Q60" s="173">
        <v>224</v>
      </c>
      <c r="R60" s="173"/>
      <c r="S60" s="173">
        <f t="shared" si="6"/>
        <v>223</v>
      </c>
      <c r="T60" s="185">
        <f>S60*3.333</f>
        <v>743.259</v>
      </c>
      <c r="U60" s="186">
        <v>4.44964871194379</v>
      </c>
      <c r="V60" s="172">
        <v>3</v>
      </c>
      <c r="W60" s="318"/>
    </row>
    <row r="61" spans="1:23" ht="15">
      <c r="A61" s="310"/>
      <c r="B61" s="310"/>
      <c r="C61" s="312"/>
      <c r="D61" s="175" t="s">
        <v>57</v>
      </c>
      <c r="E61" s="173">
        <v>95</v>
      </c>
      <c r="F61" s="174">
        <v>144</v>
      </c>
      <c r="G61" s="173">
        <v>8.1</v>
      </c>
      <c r="H61" s="173">
        <v>35.44</v>
      </c>
      <c r="I61" s="173">
        <f t="shared" si="4"/>
        <v>337.530864197531</v>
      </c>
      <c r="J61" s="173">
        <v>21.65</v>
      </c>
      <c r="K61" s="173">
        <f t="shared" si="5"/>
        <v>61.0891647855531</v>
      </c>
      <c r="L61" s="173">
        <v>143</v>
      </c>
      <c r="M61" s="173">
        <v>126.45</v>
      </c>
      <c r="N61" s="173">
        <v>88.43</v>
      </c>
      <c r="O61" s="173">
        <v>26.28</v>
      </c>
      <c r="P61" s="173">
        <v>205.22</v>
      </c>
      <c r="Q61" s="173">
        <v>197.3</v>
      </c>
      <c r="R61" s="173"/>
      <c r="S61" s="173">
        <f t="shared" si="6"/>
        <v>201.26</v>
      </c>
      <c r="T61" s="185">
        <f>S61*3.333</f>
        <v>670.79958</v>
      </c>
      <c r="U61" s="186">
        <v>2.53719176686367</v>
      </c>
      <c r="V61" s="172">
        <v>1</v>
      </c>
      <c r="W61" s="318"/>
    </row>
    <row r="62" spans="1:23" ht="15">
      <c r="A62" s="310"/>
      <c r="B62" s="310"/>
      <c r="C62" s="312"/>
      <c r="D62" s="175" t="s">
        <v>58</v>
      </c>
      <c r="E62" s="173">
        <v>100</v>
      </c>
      <c r="F62" s="174">
        <v>146</v>
      </c>
      <c r="G62" s="173">
        <v>9.5</v>
      </c>
      <c r="H62" s="173">
        <v>41.2</v>
      </c>
      <c r="I62" s="173">
        <f t="shared" si="4"/>
        <v>333.684210526316</v>
      </c>
      <c r="J62" s="173">
        <v>28.5</v>
      </c>
      <c r="K62" s="173">
        <f t="shared" si="5"/>
        <v>69.1747572815534</v>
      </c>
      <c r="L62" s="173">
        <v>120.1</v>
      </c>
      <c r="M62" s="173">
        <v>112.9</v>
      </c>
      <c r="N62" s="173">
        <v>94</v>
      </c>
      <c r="O62" s="173">
        <v>26.8</v>
      </c>
      <c r="P62" s="173">
        <v>396.22</v>
      </c>
      <c r="Q62" s="173">
        <v>378.35</v>
      </c>
      <c r="R62" s="173"/>
      <c r="S62" s="173">
        <f t="shared" si="6"/>
        <v>387.285</v>
      </c>
      <c r="T62" s="185">
        <f>S62*2.008</f>
        <v>777.66828</v>
      </c>
      <c r="U62" s="186">
        <v>3.55213903743317</v>
      </c>
      <c r="V62" s="172">
        <v>3</v>
      </c>
      <c r="W62" s="318"/>
    </row>
    <row r="63" spans="1:23" ht="15">
      <c r="A63" s="310"/>
      <c r="B63" s="310"/>
      <c r="C63" s="312"/>
      <c r="D63" s="175" t="s">
        <v>59</v>
      </c>
      <c r="E63" s="173">
        <v>100</v>
      </c>
      <c r="F63" s="174">
        <v>153</v>
      </c>
      <c r="G63" s="173">
        <v>8.64</v>
      </c>
      <c r="H63" s="173">
        <v>30.62</v>
      </c>
      <c r="I63" s="173">
        <f t="shared" si="4"/>
        <v>254.398148148148</v>
      </c>
      <c r="J63" s="173">
        <v>21.72</v>
      </c>
      <c r="K63" s="173">
        <f t="shared" si="5"/>
        <v>70.9340300457217</v>
      </c>
      <c r="L63" s="173">
        <v>154.37</v>
      </c>
      <c r="M63" s="173">
        <v>147.74</v>
      </c>
      <c r="N63" s="173">
        <v>96.96</v>
      </c>
      <c r="O63" s="173">
        <v>26.9</v>
      </c>
      <c r="P63" s="173">
        <v>198.2</v>
      </c>
      <c r="Q63" s="173">
        <v>196.6</v>
      </c>
      <c r="R63" s="173"/>
      <c r="S63" s="173">
        <f t="shared" si="6"/>
        <v>197.4</v>
      </c>
      <c r="T63" s="185">
        <f>S63*3.333</f>
        <v>657.9342</v>
      </c>
      <c r="U63" s="186">
        <v>0.101419878296131</v>
      </c>
      <c r="V63" s="172">
        <v>2</v>
      </c>
      <c r="W63" s="318"/>
    </row>
    <row r="64" spans="1:23" ht="15">
      <c r="A64" s="310"/>
      <c r="B64" s="310"/>
      <c r="C64" s="312"/>
      <c r="D64" s="175" t="s">
        <v>60</v>
      </c>
      <c r="E64" s="173">
        <v>102</v>
      </c>
      <c r="F64" s="174">
        <v>147</v>
      </c>
      <c r="G64" s="173">
        <v>7.28</v>
      </c>
      <c r="H64" s="173">
        <v>30</v>
      </c>
      <c r="I64" s="173">
        <f t="shared" si="4"/>
        <v>312.087912087912</v>
      </c>
      <c r="J64" s="173">
        <v>19.36</v>
      </c>
      <c r="K64" s="173">
        <f t="shared" si="5"/>
        <v>64.5333333333333</v>
      </c>
      <c r="L64" s="173">
        <v>113.95</v>
      </c>
      <c r="M64" s="173">
        <v>106.3</v>
      </c>
      <c r="N64" s="173">
        <v>93.3</v>
      </c>
      <c r="O64" s="173">
        <v>26.9</v>
      </c>
      <c r="P64" s="173">
        <v>333.25</v>
      </c>
      <c r="Q64" s="173">
        <v>347.9</v>
      </c>
      <c r="R64" s="173"/>
      <c r="S64" s="173">
        <f t="shared" si="6"/>
        <v>340.575</v>
      </c>
      <c r="T64" s="185">
        <f>S64*2.083</f>
        <v>709.417725</v>
      </c>
      <c r="U64" s="186">
        <v>0.52390791027156</v>
      </c>
      <c r="V64" s="172">
        <v>3</v>
      </c>
      <c r="W64" s="318"/>
    </row>
    <row r="65" spans="1:23" ht="15">
      <c r="A65" s="310"/>
      <c r="B65" s="310"/>
      <c r="C65" s="312"/>
      <c r="D65" s="175" t="s">
        <v>61</v>
      </c>
      <c r="E65" s="173">
        <v>106</v>
      </c>
      <c r="F65" s="174">
        <v>149</v>
      </c>
      <c r="G65" s="173">
        <v>7.1</v>
      </c>
      <c r="H65" s="173">
        <v>33.54</v>
      </c>
      <c r="I65" s="173">
        <f t="shared" si="4"/>
        <v>372.394366197183</v>
      </c>
      <c r="J65" s="173">
        <v>21.1</v>
      </c>
      <c r="K65" s="173">
        <f t="shared" si="5"/>
        <v>62.9099582587955</v>
      </c>
      <c r="L65" s="173">
        <v>125.4</v>
      </c>
      <c r="M65" s="173">
        <v>111.8</v>
      </c>
      <c r="N65" s="173">
        <v>89.2</v>
      </c>
      <c r="O65" s="173">
        <v>26.5</v>
      </c>
      <c r="P65" s="173">
        <v>368.5</v>
      </c>
      <c r="Q65" s="173">
        <v>357.4</v>
      </c>
      <c r="R65" s="173"/>
      <c r="S65" s="173">
        <f t="shared" si="6"/>
        <v>362.95</v>
      </c>
      <c r="T65" s="185">
        <f>S65*2</f>
        <v>725.9</v>
      </c>
      <c r="U65" s="186">
        <v>2.94993617926536</v>
      </c>
      <c r="V65" s="172">
        <v>3</v>
      </c>
      <c r="W65" s="318"/>
    </row>
    <row r="66" spans="1:23" ht="15">
      <c r="A66" s="310"/>
      <c r="B66" s="310"/>
      <c r="C66" s="312"/>
      <c r="D66" s="175" t="s">
        <v>62</v>
      </c>
      <c r="E66" s="173">
        <v>95.1</v>
      </c>
      <c r="F66" s="174">
        <v>145</v>
      </c>
      <c r="G66" s="173">
        <v>8.8</v>
      </c>
      <c r="H66" s="173">
        <v>33.32</v>
      </c>
      <c r="I66" s="173">
        <f t="shared" si="4"/>
        <v>278.636363636364</v>
      </c>
      <c r="J66" s="173">
        <v>25.31</v>
      </c>
      <c r="K66" s="173">
        <f t="shared" si="5"/>
        <v>75.9603841536615</v>
      </c>
      <c r="L66" s="173">
        <v>131.1</v>
      </c>
      <c r="M66" s="173">
        <v>121.3</v>
      </c>
      <c r="N66" s="173">
        <v>92.5</v>
      </c>
      <c r="O66" s="173">
        <v>26.7</v>
      </c>
      <c r="P66" s="173">
        <v>176.75</v>
      </c>
      <c r="Q66" s="173">
        <v>172.15</v>
      </c>
      <c r="R66" s="173"/>
      <c r="S66" s="173">
        <f t="shared" si="6"/>
        <v>174.45</v>
      </c>
      <c r="T66" s="185">
        <f>S66*3.998</f>
        <v>697.4511</v>
      </c>
      <c r="U66" s="186">
        <v>11.5195295020137</v>
      </c>
      <c r="V66" s="172">
        <v>2</v>
      </c>
      <c r="W66" s="318"/>
    </row>
    <row r="67" spans="1:23" ht="14.25">
      <c r="A67" s="310"/>
      <c r="B67" s="310"/>
      <c r="C67" s="313"/>
      <c r="D67" s="176" t="s">
        <v>30</v>
      </c>
      <c r="E67" s="177">
        <f aca="true" t="shared" si="7" ref="E67:Q67">AVERAGE(E57:E66)</f>
        <v>101.19</v>
      </c>
      <c r="F67" s="188">
        <f t="shared" si="7"/>
        <v>148.1</v>
      </c>
      <c r="G67" s="177">
        <f t="shared" si="7"/>
        <v>7.756</v>
      </c>
      <c r="H67" s="177">
        <f t="shared" si="7"/>
        <v>32.22</v>
      </c>
      <c r="I67" s="177">
        <f t="shared" si="7"/>
        <v>316.493069520281</v>
      </c>
      <c r="J67" s="177">
        <f t="shared" si="7"/>
        <v>22.204</v>
      </c>
      <c r="K67" s="177">
        <f t="shared" si="7"/>
        <v>69.663662376055</v>
      </c>
      <c r="L67" s="177">
        <f t="shared" si="7"/>
        <v>137.052</v>
      </c>
      <c r="M67" s="177">
        <f t="shared" si="7"/>
        <v>125.798</v>
      </c>
      <c r="N67" s="177">
        <f t="shared" si="7"/>
        <v>91.933</v>
      </c>
      <c r="O67" s="177">
        <f t="shared" si="7"/>
        <v>26.552</v>
      </c>
      <c r="P67" s="177">
        <f t="shared" si="7"/>
        <v>235.508</v>
      </c>
      <c r="Q67" s="177">
        <f t="shared" si="7"/>
        <v>231.535</v>
      </c>
      <c r="R67" s="177"/>
      <c r="S67" s="177">
        <f>AVERAGE(S57:S66)</f>
        <v>233.5215</v>
      </c>
      <c r="T67" s="177">
        <f>AVERAGE(T57:T66)</f>
        <v>700.8841035</v>
      </c>
      <c r="U67" s="177">
        <f>(T67-T82)/T82*100</f>
        <v>10.2019030660377</v>
      </c>
      <c r="V67" s="189">
        <v>3</v>
      </c>
      <c r="W67" s="318"/>
    </row>
    <row r="68" spans="1:23" ht="13.5">
      <c r="A68" s="310" t="s">
        <v>34</v>
      </c>
      <c r="B68" s="310" t="s">
        <v>68</v>
      </c>
      <c r="C68" s="319" t="s">
        <v>69</v>
      </c>
      <c r="D68" s="6" t="s">
        <v>37</v>
      </c>
      <c r="E68" s="58">
        <v>97</v>
      </c>
      <c r="F68" s="58">
        <v>154</v>
      </c>
      <c r="G68" s="58">
        <v>7.47</v>
      </c>
      <c r="H68" s="58">
        <v>28.53</v>
      </c>
      <c r="I68" s="58">
        <v>281.9</v>
      </c>
      <c r="J68" s="58">
        <v>17.47</v>
      </c>
      <c r="K68" s="58">
        <v>61.2</v>
      </c>
      <c r="L68" s="171">
        <v>137.1</v>
      </c>
      <c r="M68" s="171">
        <v>119.9</v>
      </c>
      <c r="N68" s="171">
        <v>87.4</v>
      </c>
      <c r="O68" s="171">
        <v>25.6</v>
      </c>
      <c r="P68" s="171">
        <v>11.64</v>
      </c>
      <c r="Q68" s="171">
        <v>11.89</v>
      </c>
      <c r="R68" s="171">
        <v>11.56</v>
      </c>
      <c r="S68" s="171">
        <v>11.7</v>
      </c>
      <c r="T68" s="171">
        <v>585</v>
      </c>
      <c r="U68" s="5">
        <v>-0.5</v>
      </c>
      <c r="V68" s="45">
        <v>6</v>
      </c>
      <c r="W68" s="318"/>
    </row>
    <row r="69" spans="1:23" ht="13.5">
      <c r="A69" s="310"/>
      <c r="B69" s="310"/>
      <c r="C69" s="320"/>
      <c r="D69" s="6" t="s">
        <v>39</v>
      </c>
      <c r="E69" s="58">
        <v>90</v>
      </c>
      <c r="F69" s="58">
        <v>149</v>
      </c>
      <c r="G69" s="58">
        <v>7.6</v>
      </c>
      <c r="H69" s="58">
        <v>29.1</v>
      </c>
      <c r="I69" s="58">
        <v>282.89</v>
      </c>
      <c r="J69" s="58">
        <v>17.8</v>
      </c>
      <c r="K69" s="58">
        <v>61.17</v>
      </c>
      <c r="L69" s="58">
        <v>149.2</v>
      </c>
      <c r="M69" s="58">
        <v>121.7</v>
      </c>
      <c r="N69" s="58">
        <v>81.57</v>
      </c>
      <c r="O69" s="58">
        <v>27.4</v>
      </c>
      <c r="P69" s="58">
        <v>11.3</v>
      </c>
      <c r="Q69" s="58">
        <v>11.85</v>
      </c>
      <c r="R69" s="58">
        <v>11.35</v>
      </c>
      <c r="S69" s="58">
        <v>11.5</v>
      </c>
      <c r="T69" s="58">
        <v>575</v>
      </c>
      <c r="U69" s="5">
        <v>2.58697591436218</v>
      </c>
      <c r="V69" s="18">
        <v>8</v>
      </c>
      <c r="W69" s="318"/>
    </row>
    <row r="70" spans="1:23" ht="13.5">
      <c r="A70" s="310"/>
      <c r="B70" s="310"/>
      <c r="C70" s="320"/>
      <c r="D70" s="6" t="s">
        <v>40</v>
      </c>
      <c r="E70" s="171">
        <v>88</v>
      </c>
      <c r="F70" s="171">
        <v>151</v>
      </c>
      <c r="G70" s="171">
        <v>7.62</v>
      </c>
      <c r="H70" s="171">
        <v>30.86</v>
      </c>
      <c r="I70" s="171">
        <v>404.99</v>
      </c>
      <c r="J70" s="171">
        <v>20.38</v>
      </c>
      <c r="K70" s="171">
        <v>66.04</v>
      </c>
      <c r="L70" s="171">
        <v>140.13</v>
      </c>
      <c r="M70" s="171">
        <v>134.58</v>
      </c>
      <c r="N70" s="171">
        <v>96.04</v>
      </c>
      <c r="O70" s="171">
        <v>26.7</v>
      </c>
      <c r="P70" s="171">
        <v>12.99</v>
      </c>
      <c r="Q70" s="171">
        <v>12.78</v>
      </c>
      <c r="R70" s="171">
        <v>12.96</v>
      </c>
      <c r="S70" s="171">
        <v>12.91</v>
      </c>
      <c r="T70" s="171">
        <v>645.22</v>
      </c>
      <c r="U70" s="183">
        <v>8.57537104970889</v>
      </c>
      <c r="V70" s="45">
        <v>1</v>
      </c>
      <c r="W70" s="318"/>
    </row>
    <row r="71" spans="1:23" ht="13.5">
      <c r="A71" s="310"/>
      <c r="B71" s="310"/>
      <c r="C71" s="320"/>
      <c r="D71" s="6" t="s">
        <v>41</v>
      </c>
      <c r="E71" s="171">
        <v>97</v>
      </c>
      <c r="F71" s="171">
        <v>151</v>
      </c>
      <c r="G71" s="171">
        <v>6.76</v>
      </c>
      <c r="H71" s="171">
        <v>26.4</v>
      </c>
      <c r="I71" s="171">
        <v>290.5</v>
      </c>
      <c r="J71" s="171">
        <v>19.8</v>
      </c>
      <c r="K71" s="171">
        <v>75</v>
      </c>
      <c r="L71" s="179">
        <v>137.5</v>
      </c>
      <c r="M71" s="179">
        <v>126.7</v>
      </c>
      <c r="N71" s="179">
        <v>92.1</v>
      </c>
      <c r="O71" s="179">
        <v>27.5</v>
      </c>
      <c r="P71" s="179">
        <v>13.05</v>
      </c>
      <c r="Q71" s="179">
        <v>13.02</v>
      </c>
      <c r="R71" s="179">
        <v>12.83</v>
      </c>
      <c r="S71" s="179">
        <v>12.97</v>
      </c>
      <c r="T71" s="179">
        <v>648.3</v>
      </c>
      <c r="U71" s="183">
        <v>1.02851799906497</v>
      </c>
      <c r="V71" s="48">
        <v>8</v>
      </c>
      <c r="W71" s="318"/>
    </row>
    <row r="72" spans="1:23" ht="13.5">
      <c r="A72" s="310"/>
      <c r="B72" s="310"/>
      <c r="C72" s="320"/>
      <c r="D72" s="6" t="s">
        <v>42</v>
      </c>
      <c r="E72" s="171">
        <v>101.5</v>
      </c>
      <c r="F72" s="171">
        <v>162</v>
      </c>
      <c r="G72" s="171">
        <v>6</v>
      </c>
      <c r="H72" s="171">
        <v>23.39</v>
      </c>
      <c r="I72" s="171">
        <v>289.8</v>
      </c>
      <c r="J72" s="171">
        <v>19.13</v>
      </c>
      <c r="K72" s="171">
        <v>81.79</v>
      </c>
      <c r="L72" s="171">
        <v>158.78</v>
      </c>
      <c r="M72" s="171">
        <v>145.36</v>
      </c>
      <c r="N72" s="171">
        <v>91.55</v>
      </c>
      <c r="O72" s="171">
        <v>27.05</v>
      </c>
      <c r="P72" s="171">
        <v>14.5</v>
      </c>
      <c r="Q72" s="171">
        <v>14.55</v>
      </c>
      <c r="R72" s="171">
        <v>14.97</v>
      </c>
      <c r="S72" s="171">
        <v>14.67</v>
      </c>
      <c r="T72" s="171">
        <v>733.5</v>
      </c>
      <c r="U72" s="183">
        <v>6.15050651230101</v>
      </c>
      <c r="V72" s="45">
        <v>4</v>
      </c>
      <c r="W72" s="318"/>
    </row>
    <row r="73" spans="1:23" ht="13.5">
      <c r="A73" s="310"/>
      <c r="B73" s="310"/>
      <c r="C73" s="320"/>
      <c r="D73" s="6" t="s">
        <v>43</v>
      </c>
      <c r="E73" s="171">
        <v>97.4</v>
      </c>
      <c r="F73" s="171">
        <v>153</v>
      </c>
      <c r="G73" s="171">
        <v>7.88</v>
      </c>
      <c r="H73" s="171">
        <v>24.44</v>
      </c>
      <c r="I73" s="171">
        <v>210.2</v>
      </c>
      <c r="J73" s="171">
        <v>19.39</v>
      </c>
      <c r="K73" s="171">
        <v>79.3</v>
      </c>
      <c r="L73" s="171">
        <v>178</v>
      </c>
      <c r="M73" s="171">
        <v>149</v>
      </c>
      <c r="N73" s="171">
        <v>83.33</v>
      </c>
      <c r="O73" s="171">
        <v>27.3</v>
      </c>
      <c r="P73" s="171">
        <v>15.39</v>
      </c>
      <c r="Q73" s="171">
        <v>15.08</v>
      </c>
      <c r="R73" s="171">
        <v>15.19</v>
      </c>
      <c r="S73" s="171">
        <v>15.22</v>
      </c>
      <c r="T73" s="171">
        <v>754.9</v>
      </c>
      <c r="U73" s="183">
        <v>5.03687213023514</v>
      </c>
      <c r="V73" s="45">
        <v>2</v>
      </c>
      <c r="W73" s="318"/>
    </row>
    <row r="74" spans="1:23" ht="13.5">
      <c r="A74" s="310"/>
      <c r="B74" s="310"/>
      <c r="C74" s="320"/>
      <c r="D74" s="6" t="s">
        <v>44</v>
      </c>
      <c r="E74" s="58">
        <v>106</v>
      </c>
      <c r="F74" s="58">
        <v>158</v>
      </c>
      <c r="G74" s="58">
        <v>6.5</v>
      </c>
      <c r="H74" s="58">
        <v>25.1</v>
      </c>
      <c r="I74" s="58">
        <v>286.2</v>
      </c>
      <c r="J74" s="58">
        <v>19.9</v>
      </c>
      <c r="K74" s="58">
        <v>79.3</v>
      </c>
      <c r="L74" s="58">
        <v>149.8</v>
      </c>
      <c r="M74" s="58">
        <v>128.8</v>
      </c>
      <c r="N74" s="58">
        <v>85.98</v>
      </c>
      <c r="O74" s="58">
        <v>25.7</v>
      </c>
      <c r="P74" s="58">
        <v>12.72</v>
      </c>
      <c r="Q74" s="58">
        <v>12.94</v>
      </c>
      <c r="R74" s="58">
        <v>11.92</v>
      </c>
      <c r="S74" s="58">
        <v>12.53</v>
      </c>
      <c r="T74" s="58">
        <v>626.33</v>
      </c>
      <c r="U74" s="5">
        <v>8.64353859496965</v>
      </c>
      <c r="V74" s="18">
        <v>7</v>
      </c>
      <c r="W74" s="318"/>
    </row>
    <row r="75" spans="1:23" ht="13.5">
      <c r="A75" s="310"/>
      <c r="B75" s="310"/>
      <c r="C75" s="320"/>
      <c r="D75" s="6" t="s">
        <v>45</v>
      </c>
      <c r="E75" s="58">
        <v>106</v>
      </c>
      <c r="F75" s="58">
        <v>153</v>
      </c>
      <c r="G75" s="58">
        <v>6.8</v>
      </c>
      <c r="H75" s="58">
        <v>28.3</v>
      </c>
      <c r="I75" s="58">
        <v>316.2</v>
      </c>
      <c r="J75" s="58">
        <v>19.9</v>
      </c>
      <c r="K75" s="58">
        <v>70.3</v>
      </c>
      <c r="L75" s="58">
        <v>143.5</v>
      </c>
      <c r="M75" s="58">
        <v>132.9</v>
      </c>
      <c r="N75" s="58">
        <v>92.6</v>
      </c>
      <c r="O75" s="58">
        <v>26.1</v>
      </c>
      <c r="P75" s="58">
        <v>12.72</v>
      </c>
      <c r="Q75" s="58">
        <v>12.94</v>
      </c>
      <c r="R75" s="58">
        <v>11.92</v>
      </c>
      <c r="S75" s="58">
        <v>12.53</v>
      </c>
      <c r="T75" s="58">
        <v>626.33</v>
      </c>
      <c r="U75" s="5">
        <v>1.59448499594486</v>
      </c>
      <c r="V75" s="18">
        <v>7</v>
      </c>
      <c r="W75" s="318"/>
    </row>
    <row r="76" spans="1:23" ht="13.5">
      <c r="A76" s="310"/>
      <c r="B76" s="310"/>
      <c r="C76" s="320"/>
      <c r="D76" s="6" t="s">
        <v>46</v>
      </c>
      <c r="E76" s="58">
        <v>97.6</v>
      </c>
      <c r="F76" s="58">
        <v>150</v>
      </c>
      <c r="G76" s="58">
        <v>8</v>
      </c>
      <c r="H76" s="58">
        <v>27.6</v>
      </c>
      <c r="I76" s="58">
        <v>245</v>
      </c>
      <c r="J76" s="58">
        <v>19.2</v>
      </c>
      <c r="K76" s="58">
        <v>69.57</v>
      </c>
      <c r="L76" s="58">
        <v>154.2</v>
      </c>
      <c r="M76" s="58">
        <v>138</v>
      </c>
      <c r="N76" s="58">
        <v>89.45</v>
      </c>
      <c r="O76" s="58">
        <v>25.5</v>
      </c>
      <c r="P76" s="58">
        <v>13.07</v>
      </c>
      <c r="Q76" s="58">
        <v>13.23</v>
      </c>
      <c r="R76" s="58">
        <v>13.36</v>
      </c>
      <c r="S76" s="58">
        <v>13.22</v>
      </c>
      <c r="T76" s="58">
        <v>661</v>
      </c>
      <c r="U76" s="5">
        <v>8.71710526315789</v>
      </c>
      <c r="V76" s="18">
        <v>1</v>
      </c>
      <c r="W76" s="318"/>
    </row>
    <row r="77" spans="1:23" ht="13.5">
      <c r="A77" s="310"/>
      <c r="B77" s="310"/>
      <c r="C77" s="320"/>
      <c r="D77" s="29" t="s">
        <v>30</v>
      </c>
      <c r="E77" s="55">
        <v>97.8333333333333</v>
      </c>
      <c r="F77" s="55">
        <v>153.444444444444</v>
      </c>
      <c r="G77" s="55">
        <v>7.18111111111111</v>
      </c>
      <c r="H77" s="55">
        <v>27.08</v>
      </c>
      <c r="I77" s="55">
        <v>289.742222222222</v>
      </c>
      <c r="J77" s="55">
        <v>19.2188888888889</v>
      </c>
      <c r="K77" s="55">
        <v>71.5188888888889</v>
      </c>
      <c r="L77" s="55">
        <v>149.801111111111</v>
      </c>
      <c r="M77" s="55">
        <v>132.993333333333</v>
      </c>
      <c r="N77" s="55">
        <v>88.8911111111111</v>
      </c>
      <c r="O77" s="55">
        <v>26.5388888888889</v>
      </c>
      <c r="P77" s="55">
        <v>13.0422222222222</v>
      </c>
      <c r="Q77" s="55">
        <v>13.1422222222222</v>
      </c>
      <c r="R77" s="55">
        <v>12.8955555555556</v>
      </c>
      <c r="S77" s="55">
        <v>13.0277777777778</v>
      </c>
      <c r="T77" s="55">
        <v>650.62</v>
      </c>
      <c r="U77" s="22">
        <v>4.65512804014928</v>
      </c>
      <c r="V77" s="52">
        <v>5</v>
      </c>
      <c r="W77" s="318"/>
    </row>
    <row r="78" spans="1:23" ht="13.5">
      <c r="A78" s="310" t="s">
        <v>47</v>
      </c>
      <c r="B78" s="310"/>
      <c r="C78" s="321" t="s">
        <v>70</v>
      </c>
      <c r="D78" s="6" t="s">
        <v>39</v>
      </c>
      <c r="E78" s="45">
        <v>101</v>
      </c>
      <c r="F78" s="45">
        <v>153</v>
      </c>
      <c r="G78" s="45">
        <v>7.6</v>
      </c>
      <c r="H78" s="45">
        <v>36</v>
      </c>
      <c r="I78" s="45">
        <v>373.68</v>
      </c>
      <c r="J78" s="45">
        <v>22.5</v>
      </c>
      <c r="K78" s="45">
        <v>62.5</v>
      </c>
      <c r="L78" s="45">
        <v>127.2</v>
      </c>
      <c r="M78" s="45">
        <v>117.6</v>
      </c>
      <c r="N78" s="45">
        <v>92.45</v>
      </c>
      <c r="O78" s="45">
        <v>25.7</v>
      </c>
      <c r="P78" s="48">
        <v>12.65</v>
      </c>
      <c r="Q78" s="48">
        <v>12.95</v>
      </c>
      <c r="R78" s="48">
        <v>13.05</v>
      </c>
      <c r="S78" s="48">
        <v>12.88</v>
      </c>
      <c r="T78" s="48">
        <v>644</v>
      </c>
      <c r="U78" s="48"/>
      <c r="V78" s="45">
        <v>7</v>
      </c>
      <c r="W78" s="318"/>
    </row>
    <row r="79" spans="1:23" ht="13.5">
      <c r="A79" s="310"/>
      <c r="B79" s="310"/>
      <c r="C79" s="322"/>
      <c r="D79" s="6" t="s">
        <v>46</v>
      </c>
      <c r="E79" s="18">
        <v>102</v>
      </c>
      <c r="F79" s="18">
        <v>154</v>
      </c>
      <c r="G79" s="18">
        <v>8.3</v>
      </c>
      <c r="H79" s="18">
        <v>33.2</v>
      </c>
      <c r="I79" s="18">
        <v>300</v>
      </c>
      <c r="J79" s="18">
        <v>22.8</v>
      </c>
      <c r="K79" s="18">
        <v>68.7</v>
      </c>
      <c r="L79" s="18">
        <v>130.08</v>
      </c>
      <c r="M79" s="18">
        <v>105.26</v>
      </c>
      <c r="N79" s="18">
        <v>80.92</v>
      </c>
      <c r="O79" s="18">
        <v>24.83</v>
      </c>
      <c r="P79" s="18">
        <v>14.3</v>
      </c>
      <c r="Q79" s="18">
        <v>14.71</v>
      </c>
      <c r="R79" s="18">
        <v>14.49</v>
      </c>
      <c r="S79" s="18">
        <v>14.5</v>
      </c>
      <c r="T79" s="18">
        <v>725</v>
      </c>
      <c r="U79" s="18"/>
      <c r="V79" s="18">
        <v>4</v>
      </c>
      <c r="W79" s="318"/>
    </row>
    <row r="80" spans="1:23" ht="13.5">
      <c r="A80" s="310"/>
      <c r="B80" s="310"/>
      <c r="C80" s="322"/>
      <c r="D80" s="6" t="s">
        <v>41</v>
      </c>
      <c r="E80" s="45">
        <v>93.2</v>
      </c>
      <c r="F80" s="45">
        <v>163</v>
      </c>
      <c r="G80" s="45">
        <v>6.28</v>
      </c>
      <c r="H80" s="45">
        <v>29</v>
      </c>
      <c r="I80" s="45">
        <v>361.8</v>
      </c>
      <c r="J80" s="45">
        <v>23</v>
      </c>
      <c r="K80" s="45">
        <v>79.3</v>
      </c>
      <c r="L80" s="48">
        <v>137.4</v>
      </c>
      <c r="M80" s="48">
        <v>122.9</v>
      </c>
      <c r="N80" s="48">
        <v>89.4</v>
      </c>
      <c r="O80" s="48">
        <v>26.4</v>
      </c>
      <c r="P80" s="48">
        <v>14.97</v>
      </c>
      <c r="Q80" s="48">
        <v>14.77</v>
      </c>
      <c r="R80" s="48">
        <v>14.64</v>
      </c>
      <c r="S80" s="48">
        <v>14.79</v>
      </c>
      <c r="T80" s="48">
        <v>739.5</v>
      </c>
      <c r="U80" s="45"/>
      <c r="V80" s="48">
        <v>5</v>
      </c>
      <c r="W80" s="318"/>
    </row>
    <row r="81" spans="1:23" ht="13.5">
      <c r="A81" s="310"/>
      <c r="B81" s="310"/>
      <c r="C81" s="322"/>
      <c r="D81" s="6" t="s">
        <v>40</v>
      </c>
      <c r="E81" s="45">
        <v>93</v>
      </c>
      <c r="F81" s="45">
        <v>153</v>
      </c>
      <c r="G81" s="45">
        <v>7.75</v>
      </c>
      <c r="H81" s="45">
        <v>28.69</v>
      </c>
      <c r="I81" s="45">
        <v>370.19</v>
      </c>
      <c r="J81" s="45">
        <v>18.74</v>
      </c>
      <c r="K81" s="45">
        <v>65.32</v>
      </c>
      <c r="L81" s="45">
        <v>129.46</v>
      </c>
      <c r="M81" s="45">
        <v>113.84</v>
      </c>
      <c r="N81" s="45">
        <v>87.93</v>
      </c>
      <c r="O81" s="45">
        <v>25.4</v>
      </c>
      <c r="P81" s="45">
        <v>12.97</v>
      </c>
      <c r="Q81" s="45">
        <v>13.01</v>
      </c>
      <c r="R81" s="45">
        <v>12.98</v>
      </c>
      <c r="S81" s="45">
        <v>12.99</v>
      </c>
      <c r="T81" s="45">
        <v>649.27</v>
      </c>
      <c r="U81" s="45"/>
      <c r="V81" s="45">
        <v>7</v>
      </c>
      <c r="W81" s="318"/>
    </row>
    <row r="82" spans="1:23" ht="13.5">
      <c r="A82" s="310"/>
      <c r="B82" s="310"/>
      <c r="C82" s="322"/>
      <c r="D82" s="6" t="s">
        <v>42</v>
      </c>
      <c r="E82" s="45">
        <v>105.1</v>
      </c>
      <c r="F82" s="45">
        <v>169</v>
      </c>
      <c r="G82" s="45">
        <v>6</v>
      </c>
      <c r="H82" s="45">
        <v>33.55</v>
      </c>
      <c r="I82" s="45">
        <v>459.2</v>
      </c>
      <c r="J82" s="45">
        <v>22.1</v>
      </c>
      <c r="K82" s="45">
        <v>65.87</v>
      </c>
      <c r="L82" s="45">
        <v>126.44</v>
      </c>
      <c r="M82" s="45">
        <v>117.3</v>
      </c>
      <c r="N82" s="45">
        <v>92.8</v>
      </c>
      <c r="O82" s="45">
        <v>23.36</v>
      </c>
      <c r="P82" s="45">
        <v>13.6</v>
      </c>
      <c r="Q82" s="45">
        <v>12.14</v>
      </c>
      <c r="R82" s="45">
        <v>12.42</v>
      </c>
      <c r="S82" s="45">
        <v>12.72</v>
      </c>
      <c r="T82" s="45">
        <v>636</v>
      </c>
      <c r="U82" s="45"/>
      <c r="V82" s="45">
        <v>5</v>
      </c>
      <c r="W82" s="318"/>
    </row>
    <row r="83" spans="1:23" ht="13.5">
      <c r="A83" s="310"/>
      <c r="B83" s="310"/>
      <c r="C83" s="322"/>
      <c r="D83" s="6" t="s">
        <v>45</v>
      </c>
      <c r="E83" s="18">
        <v>103</v>
      </c>
      <c r="F83" s="18">
        <v>158</v>
      </c>
      <c r="G83" s="18">
        <v>7.6</v>
      </c>
      <c r="H83" s="18">
        <v>34.7</v>
      </c>
      <c r="I83" s="18">
        <v>356.6</v>
      </c>
      <c r="J83" s="18">
        <v>21.2</v>
      </c>
      <c r="K83" s="18">
        <v>61.1</v>
      </c>
      <c r="L83" s="18">
        <v>148.2</v>
      </c>
      <c r="M83" s="18">
        <v>128.2</v>
      </c>
      <c r="N83" s="18">
        <v>86.5</v>
      </c>
      <c r="O83" s="18">
        <v>25.3</v>
      </c>
      <c r="P83" s="18">
        <v>12.73</v>
      </c>
      <c r="Q83" s="18">
        <v>12.65</v>
      </c>
      <c r="R83" s="18">
        <v>11.69</v>
      </c>
      <c r="S83" s="18">
        <v>12.36</v>
      </c>
      <c r="T83" s="18">
        <v>617.8</v>
      </c>
      <c r="U83" s="18"/>
      <c r="V83" s="18">
        <v>12</v>
      </c>
      <c r="W83" s="318"/>
    </row>
    <row r="84" spans="1:23" ht="13.5">
      <c r="A84" s="310"/>
      <c r="B84" s="310"/>
      <c r="C84" s="322"/>
      <c r="D84" s="6" t="s">
        <v>49</v>
      </c>
      <c r="E84" s="18">
        <v>103</v>
      </c>
      <c r="F84" s="18">
        <v>162</v>
      </c>
      <c r="G84" s="18">
        <v>7.7</v>
      </c>
      <c r="H84" s="18">
        <v>34.9</v>
      </c>
      <c r="I84" s="18">
        <v>353.2</v>
      </c>
      <c r="J84" s="18">
        <v>21.3</v>
      </c>
      <c r="K84" s="18">
        <v>60.9</v>
      </c>
      <c r="L84" s="18">
        <v>150.1</v>
      </c>
      <c r="M84" s="18">
        <v>128</v>
      </c>
      <c r="N84" s="18">
        <v>85.3</v>
      </c>
      <c r="O84" s="18">
        <v>26.1</v>
      </c>
      <c r="P84" s="18">
        <v>12.76</v>
      </c>
      <c r="Q84" s="18">
        <v>13.07</v>
      </c>
      <c r="R84" s="18">
        <v>13.06</v>
      </c>
      <c r="S84" s="18">
        <v>12.96</v>
      </c>
      <c r="T84" s="18">
        <v>648.2</v>
      </c>
      <c r="U84" s="18"/>
      <c r="V84" s="18">
        <v>6</v>
      </c>
      <c r="W84" s="318"/>
    </row>
    <row r="85" spans="1:23" ht="13.5">
      <c r="A85" s="310"/>
      <c r="B85" s="310"/>
      <c r="C85" s="322"/>
      <c r="D85" s="6" t="s">
        <v>43</v>
      </c>
      <c r="E85" s="45">
        <v>98.5</v>
      </c>
      <c r="F85" s="45">
        <v>163</v>
      </c>
      <c r="G85" s="45">
        <v>9.13</v>
      </c>
      <c r="H85" s="45">
        <v>34.8</v>
      </c>
      <c r="I85" s="45">
        <v>281.16</v>
      </c>
      <c r="J85" s="45">
        <v>21.36</v>
      </c>
      <c r="K85" s="45">
        <v>61.38</v>
      </c>
      <c r="L85" s="45">
        <v>153</v>
      </c>
      <c r="M85" s="45">
        <v>141</v>
      </c>
      <c r="N85" s="45">
        <v>92.16</v>
      </c>
      <c r="O85" s="45">
        <v>25.8</v>
      </c>
      <c r="P85" s="45">
        <v>16.83</v>
      </c>
      <c r="Q85" s="45">
        <v>17.04</v>
      </c>
      <c r="R85" s="45">
        <v>17.65</v>
      </c>
      <c r="S85" s="45">
        <v>17.17</v>
      </c>
      <c r="T85" s="45">
        <v>757.03</v>
      </c>
      <c r="U85" s="45"/>
      <c r="V85" s="45">
        <v>7</v>
      </c>
      <c r="W85" s="318"/>
    </row>
    <row r="86" spans="1:23" ht="13.5">
      <c r="A86" s="310"/>
      <c r="B86" s="310"/>
      <c r="C86" s="322"/>
      <c r="D86" s="6" t="s">
        <v>37</v>
      </c>
      <c r="E86" s="18">
        <v>113.5</v>
      </c>
      <c r="F86" s="18">
        <v>164</v>
      </c>
      <c r="G86" s="18">
        <v>6.13</v>
      </c>
      <c r="H86" s="18">
        <v>29.7</v>
      </c>
      <c r="I86" s="18">
        <v>385</v>
      </c>
      <c r="J86" s="18">
        <v>19.8</v>
      </c>
      <c r="K86" s="18">
        <v>67</v>
      </c>
      <c r="L86" s="45">
        <v>140.7</v>
      </c>
      <c r="M86" s="45">
        <v>132.2</v>
      </c>
      <c r="N86" s="45">
        <v>94.6</v>
      </c>
      <c r="O86" s="45">
        <v>24.7</v>
      </c>
      <c r="P86" s="45">
        <v>13.03</v>
      </c>
      <c r="Q86" s="45">
        <v>12.73</v>
      </c>
      <c r="R86" s="45">
        <v>12.94</v>
      </c>
      <c r="S86" s="45">
        <v>12.9</v>
      </c>
      <c r="T86" s="45">
        <v>645</v>
      </c>
      <c r="U86" s="18"/>
      <c r="V86" s="45">
        <v>2</v>
      </c>
      <c r="W86" s="318"/>
    </row>
    <row r="87" spans="1:23" ht="13.5">
      <c r="A87" s="310"/>
      <c r="B87" s="310"/>
      <c r="C87" s="322"/>
      <c r="D87" s="6" t="s">
        <v>50</v>
      </c>
      <c r="E87" s="18">
        <v>99</v>
      </c>
      <c r="F87" s="18">
        <v>160</v>
      </c>
      <c r="G87" s="18">
        <v>7</v>
      </c>
      <c r="H87" s="18">
        <v>29.4</v>
      </c>
      <c r="I87" s="18">
        <v>320</v>
      </c>
      <c r="J87" s="18">
        <v>22.8</v>
      </c>
      <c r="K87" s="18">
        <v>77.6</v>
      </c>
      <c r="L87" s="18">
        <v>128.8</v>
      </c>
      <c r="M87" s="18">
        <v>116.2</v>
      </c>
      <c r="N87" s="18">
        <v>90.2</v>
      </c>
      <c r="O87" s="18">
        <v>23.9</v>
      </c>
      <c r="P87" s="18">
        <v>12.39</v>
      </c>
      <c r="Q87" s="18">
        <v>12.22</v>
      </c>
      <c r="R87" s="18">
        <v>12.4</v>
      </c>
      <c r="S87" s="18">
        <v>12.34</v>
      </c>
      <c r="T87" s="18">
        <v>618.55</v>
      </c>
      <c r="U87" s="54"/>
      <c r="V87" s="18">
        <v>8</v>
      </c>
      <c r="W87" s="318"/>
    </row>
    <row r="88" spans="1:23" ht="13.5">
      <c r="A88" s="310"/>
      <c r="B88" s="310"/>
      <c r="C88" s="323"/>
      <c r="D88" s="29" t="s">
        <v>30</v>
      </c>
      <c r="E88" s="22">
        <v>101.13</v>
      </c>
      <c r="F88" s="22">
        <v>159.9</v>
      </c>
      <c r="G88" s="22">
        <v>7.349</v>
      </c>
      <c r="H88" s="22">
        <v>32.394</v>
      </c>
      <c r="I88" s="22">
        <v>356.083</v>
      </c>
      <c r="J88" s="22">
        <v>21.56</v>
      </c>
      <c r="K88" s="22">
        <v>66.967</v>
      </c>
      <c r="L88" s="22">
        <v>137.138</v>
      </c>
      <c r="M88" s="22">
        <v>122.25</v>
      </c>
      <c r="N88" s="22">
        <v>89.226</v>
      </c>
      <c r="O88" s="22">
        <v>25.149</v>
      </c>
      <c r="P88" s="22">
        <v>13.623</v>
      </c>
      <c r="Q88" s="22">
        <v>13.529</v>
      </c>
      <c r="R88" s="22">
        <v>13.532</v>
      </c>
      <c r="S88" s="22">
        <v>13.5613333333333</v>
      </c>
      <c r="T88" s="22">
        <v>678.066666666667</v>
      </c>
      <c r="U88" s="22">
        <v>6.34671685487243</v>
      </c>
      <c r="V88" s="184">
        <v>4</v>
      </c>
      <c r="W88" s="318"/>
    </row>
    <row r="89" spans="1:23" ht="15">
      <c r="A89" s="310" t="s">
        <v>51</v>
      </c>
      <c r="B89" s="310"/>
      <c r="C89" s="311" t="s">
        <v>71</v>
      </c>
      <c r="D89" s="175" t="s">
        <v>67</v>
      </c>
      <c r="E89" s="173">
        <v>112</v>
      </c>
      <c r="F89" s="174">
        <v>153</v>
      </c>
      <c r="G89" s="173">
        <v>7.1</v>
      </c>
      <c r="H89" s="173">
        <v>31.96</v>
      </c>
      <c r="I89" s="173">
        <f aca="true" t="shared" si="8" ref="I89:I98">(H89-G89)/G89*100</f>
        <v>350.140845070423</v>
      </c>
      <c r="J89" s="173">
        <v>21.7</v>
      </c>
      <c r="K89" s="173">
        <f aca="true" t="shared" si="9" ref="K89:K98">J89/H89*100</f>
        <v>67.8973717146433</v>
      </c>
      <c r="L89" s="173">
        <v>132.8</v>
      </c>
      <c r="M89" s="173">
        <v>120.72</v>
      </c>
      <c r="N89" s="173">
        <v>90.9</v>
      </c>
      <c r="O89" s="173">
        <v>28.1</v>
      </c>
      <c r="P89" s="173">
        <v>224.68</v>
      </c>
      <c r="Q89" s="173">
        <v>217.4</v>
      </c>
      <c r="R89" s="173"/>
      <c r="S89" s="173">
        <f aca="true" t="shared" si="10" ref="S89:S98">AVERAGE(P89:Q89)</f>
        <v>221.04</v>
      </c>
      <c r="T89" s="185">
        <f>S89*3.33</f>
        <v>736.0632</v>
      </c>
      <c r="U89" s="186">
        <v>4.21499292786422</v>
      </c>
      <c r="V89" s="172">
        <v>1</v>
      </c>
      <c r="W89" s="318"/>
    </row>
    <row r="90" spans="1:23" ht="15">
      <c r="A90" s="310"/>
      <c r="B90" s="310"/>
      <c r="C90" s="312"/>
      <c r="D90" s="175" t="s">
        <v>54</v>
      </c>
      <c r="E90" s="173">
        <v>107</v>
      </c>
      <c r="F90" s="174">
        <v>149</v>
      </c>
      <c r="G90" s="173">
        <v>7.9</v>
      </c>
      <c r="H90" s="173">
        <v>35.2</v>
      </c>
      <c r="I90" s="173">
        <f t="shared" si="8"/>
        <v>345.569620253165</v>
      </c>
      <c r="J90" s="173">
        <v>23.5</v>
      </c>
      <c r="K90" s="173">
        <f t="shared" si="9"/>
        <v>66.7613636363636</v>
      </c>
      <c r="L90" s="173">
        <v>139.2</v>
      </c>
      <c r="M90" s="173">
        <v>136.7</v>
      </c>
      <c r="N90" s="173">
        <v>98.2</v>
      </c>
      <c r="O90" s="173">
        <v>28.6</v>
      </c>
      <c r="P90" s="173">
        <v>54.86</v>
      </c>
      <c r="Q90" s="173">
        <v>53.9</v>
      </c>
      <c r="R90" s="173"/>
      <c r="S90" s="173">
        <f t="shared" si="10"/>
        <v>54.38</v>
      </c>
      <c r="T90" s="185">
        <f>S90*12.5</f>
        <v>679.75</v>
      </c>
      <c r="U90" s="186">
        <v>10.1478630747417</v>
      </c>
      <c r="V90" s="172">
        <v>2</v>
      </c>
      <c r="W90" s="318"/>
    </row>
    <row r="91" spans="1:23" ht="15">
      <c r="A91" s="310"/>
      <c r="B91" s="310"/>
      <c r="C91" s="312"/>
      <c r="D91" s="175" t="s">
        <v>55</v>
      </c>
      <c r="E91" s="173">
        <v>91.6</v>
      </c>
      <c r="F91" s="174">
        <v>148</v>
      </c>
      <c r="G91" s="173">
        <v>6.84</v>
      </c>
      <c r="H91" s="173">
        <v>23</v>
      </c>
      <c r="I91" s="173">
        <f t="shared" si="8"/>
        <v>236.25730994152</v>
      </c>
      <c r="J91" s="173">
        <v>18.8</v>
      </c>
      <c r="K91" s="173">
        <f t="shared" si="9"/>
        <v>81.7391304347826</v>
      </c>
      <c r="L91" s="173">
        <v>152.2</v>
      </c>
      <c r="M91" s="173">
        <v>145.93</v>
      </c>
      <c r="N91" s="173">
        <v>95.8</v>
      </c>
      <c r="O91" s="173">
        <v>25.99</v>
      </c>
      <c r="P91" s="173">
        <v>186.6</v>
      </c>
      <c r="Q91" s="173">
        <v>192.4</v>
      </c>
      <c r="R91" s="173"/>
      <c r="S91" s="173">
        <f t="shared" si="10"/>
        <v>189.5</v>
      </c>
      <c r="T91" s="185">
        <f>S91*3.472</f>
        <v>657.944</v>
      </c>
      <c r="U91" s="186">
        <v>1.25567726422655</v>
      </c>
      <c r="V91" s="172">
        <v>3</v>
      </c>
      <c r="W91" s="318"/>
    </row>
    <row r="92" spans="1:23" ht="15">
      <c r="A92" s="310"/>
      <c r="B92" s="310"/>
      <c r="C92" s="312"/>
      <c r="D92" s="175" t="s">
        <v>56</v>
      </c>
      <c r="E92" s="173">
        <v>106.6</v>
      </c>
      <c r="F92" s="174">
        <v>150</v>
      </c>
      <c r="G92" s="173">
        <v>5.6</v>
      </c>
      <c r="H92" s="173">
        <v>23.4</v>
      </c>
      <c r="I92" s="173">
        <f t="shared" si="8"/>
        <v>317.857142857143</v>
      </c>
      <c r="J92" s="173">
        <v>20.3</v>
      </c>
      <c r="K92" s="173">
        <f t="shared" si="9"/>
        <v>86.7521367521368</v>
      </c>
      <c r="L92" s="173">
        <v>139.7</v>
      </c>
      <c r="M92" s="173">
        <v>121.5</v>
      </c>
      <c r="N92" s="173">
        <v>87</v>
      </c>
      <c r="O92" s="173">
        <v>25.8</v>
      </c>
      <c r="P92" s="173">
        <v>227</v>
      </c>
      <c r="Q92" s="173">
        <v>231</v>
      </c>
      <c r="R92" s="173"/>
      <c r="S92" s="173">
        <f t="shared" si="10"/>
        <v>229</v>
      </c>
      <c r="T92" s="185">
        <f>S92*3.333</f>
        <v>763.257</v>
      </c>
      <c r="U92" s="186">
        <v>7.25995316159251</v>
      </c>
      <c r="V92" s="172">
        <v>1</v>
      </c>
      <c r="W92" s="318"/>
    </row>
    <row r="93" spans="1:23" ht="15">
      <c r="A93" s="310"/>
      <c r="B93" s="310"/>
      <c r="C93" s="312"/>
      <c r="D93" s="175" t="s">
        <v>57</v>
      </c>
      <c r="E93" s="173">
        <v>96</v>
      </c>
      <c r="F93" s="174">
        <v>151</v>
      </c>
      <c r="G93" s="173">
        <v>8</v>
      </c>
      <c r="H93" s="173">
        <v>34.23</v>
      </c>
      <c r="I93" s="173">
        <f t="shared" si="8"/>
        <v>327.875</v>
      </c>
      <c r="J93" s="173">
        <v>21.84</v>
      </c>
      <c r="K93" s="173">
        <f t="shared" si="9"/>
        <v>63.8036809815951</v>
      </c>
      <c r="L93" s="173">
        <v>144.56</v>
      </c>
      <c r="M93" s="173">
        <v>127</v>
      </c>
      <c r="N93" s="173">
        <v>87.85</v>
      </c>
      <c r="O93" s="173">
        <v>26.1</v>
      </c>
      <c r="P93" s="173">
        <v>195.04</v>
      </c>
      <c r="Q93" s="173">
        <v>198.42</v>
      </c>
      <c r="R93" s="173"/>
      <c r="S93" s="173">
        <f t="shared" si="10"/>
        <v>196.73</v>
      </c>
      <c r="T93" s="185">
        <f>S93*3.333</f>
        <v>655.70109</v>
      </c>
      <c r="U93" s="186">
        <v>0.229264316282867</v>
      </c>
      <c r="V93" s="172">
        <v>3</v>
      </c>
      <c r="W93" s="318"/>
    </row>
    <row r="94" spans="1:23" ht="15">
      <c r="A94" s="310"/>
      <c r="B94" s="310"/>
      <c r="C94" s="312"/>
      <c r="D94" s="175" t="s">
        <v>58</v>
      </c>
      <c r="E94" s="173">
        <v>99.3</v>
      </c>
      <c r="F94" s="174">
        <v>149</v>
      </c>
      <c r="G94" s="173">
        <v>9.4</v>
      </c>
      <c r="H94" s="173">
        <v>41.5</v>
      </c>
      <c r="I94" s="173">
        <f t="shared" si="8"/>
        <v>341.489361702128</v>
      </c>
      <c r="J94" s="173">
        <v>28.6</v>
      </c>
      <c r="K94" s="173">
        <f t="shared" si="9"/>
        <v>68.9156626506024</v>
      </c>
      <c r="L94" s="173">
        <v>115.5</v>
      </c>
      <c r="M94" s="173">
        <v>108.5</v>
      </c>
      <c r="N94" s="173">
        <v>93.9</v>
      </c>
      <c r="O94" s="173">
        <v>27.5</v>
      </c>
      <c r="P94" s="173">
        <v>392.73</v>
      </c>
      <c r="Q94" s="173">
        <v>392</v>
      </c>
      <c r="R94" s="173"/>
      <c r="S94" s="173">
        <f t="shared" si="10"/>
        <v>392.365</v>
      </c>
      <c r="T94" s="185">
        <f>S94*2.008</f>
        <v>787.86892</v>
      </c>
      <c r="U94" s="186">
        <v>4.91042780748664</v>
      </c>
      <c r="V94" s="172">
        <v>1</v>
      </c>
      <c r="W94" s="318"/>
    </row>
    <row r="95" spans="1:23" ht="15">
      <c r="A95" s="310"/>
      <c r="B95" s="310"/>
      <c r="C95" s="312"/>
      <c r="D95" s="175" t="s">
        <v>59</v>
      </c>
      <c r="E95" s="173">
        <v>99</v>
      </c>
      <c r="F95" s="174">
        <v>154</v>
      </c>
      <c r="G95" s="173">
        <v>8.62</v>
      </c>
      <c r="H95" s="173">
        <v>30.49</v>
      </c>
      <c r="I95" s="173">
        <f t="shared" si="8"/>
        <v>253.712296983759</v>
      </c>
      <c r="J95" s="173">
        <v>21.64</v>
      </c>
      <c r="K95" s="173">
        <f t="shared" si="9"/>
        <v>70.9740898655297</v>
      </c>
      <c r="L95" s="173">
        <v>140.26</v>
      </c>
      <c r="M95" s="173">
        <v>136.56</v>
      </c>
      <c r="N95" s="173">
        <v>97.36</v>
      </c>
      <c r="O95" s="173">
        <v>27.2</v>
      </c>
      <c r="P95" s="173">
        <v>211.5</v>
      </c>
      <c r="Q95" s="173">
        <v>213.4</v>
      </c>
      <c r="R95" s="173"/>
      <c r="S95" s="173">
        <f t="shared" si="10"/>
        <v>212.45</v>
      </c>
      <c r="T95" s="185">
        <f>S95*3.333</f>
        <v>708.09585</v>
      </c>
      <c r="U95" s="186">
        <v>7.73326572008114</v>
      </c>
      <c r="V95" s="172">
        <v>1</v>
      </c>
      <c r="W95" s="318"/>
    </row>
    <row r="96" spans="1:23" ht="15">
      <c r="A96" s="310"/>
      <c r="B96" s="310"/>
      <c r="C96" s="312"/>
      <c r="D96" s="175" t="s">
        <v>60</v>
      </c>
      <c r="E96" s="173">
        <v>108</v>
      </c>
      <c r="F96" s="174">
        <v>145</v>
      </c>
      <c r="G96" s="173">
        <v>9.12</v>
      </c>
      <c r="H96" s="173">
        <v>33.1</v>
      </c>
      <c r="I96" s="173">
        <f t="shared" si="8"/>
        <v>262.938596491228</v>
      </c>
      <c r="J96" s="173">
        <v>21.36</v>
      </c>
      <c r="K96" s="173">
        <f t="shared" si="9"/>
        <v>64.5317220543807</v>
      </c>
      <c r="L96" s="173">
        <v>129.5</v>
      </c>
      <c r="M96" s="173">
        <v>125</v>
      </c>
      <c r="N96" s="173">
        <v>96.5</v>
      </c>
      <c r="O96" s="173">
        <v>26.5</v>
      </c>
      <c r="P96" s="173">
        <v>338.6</v>
      </c>
      <c r="Q96" s="173">
        <v>352.4</v>
      </c>
      <c r="R96" s="173"/>
      <c r="S96" s="173">
        <f t="shared" si="10"/>
        <v>345.5</v>
      </c>
      <c r="T96" s="185">
        <f>S96*2.083</f>
        <v>719.6765</v>
      </c>
      <c r="U96" s="186">
        <v>1.97756788665881</v>
      </c>
      <c r="V96" s="172">
        <v>1</v>
      </c>
      <c r="W96" s="318"/>
    </row>
    <row r="97" spans="1:23" ht="15">
      <c r="A97" s="310"/>
      <c r="B97" s="310"/>
      <c r="C97" s="312"/>
      <c r="D97" s="175" t="s">
        <v>61</v>
      </c>
      <c r="E97" s="173">
        <v>108</v>
      </c>
      <c r="F97" s="174">
        <v>152</v>
      </c>
      <c r="G97" s="173">
        <v>6.9</v>
      </c>
      <c r="H97" s="173">
        <v>32.67</v>
      </c>
      <c r="I97" s="173">
        <f t="shared" si="8"/>
        <v>373.478260869565</v>
      </c>
      <c r="J97" s="173">
        <v>21.5</v>
      </c>
      <c r="K97" s="173">
        <f t="shared" si="9"/>
        <v>65.8096112641567</v>
      </c>
      <c r="L97" s="173">
        <v>133.8</v>
      </c>
      <c r="M97" s="173">
        <v>119.2</v>
      </c>
      <c r="N97" s="173">
        <v>89.1</v>
      </c>
      <c r="O97" s="173">
        <v>28.1</v>
      </c>
      <c r="P97" s="173">
        <v>369.9</v>
      </c>
      <c r="Q97" s="173">
        <v>371.4</v>
      </c>
      <c r="R97" s="173"/>
      <c r="S97" s="173">
        <f t="shared" si="10"/>
        <v>370.65</v>
      </c>
      <c r="T97" s="185">
        <f>S97*2</f>
        <v>741.3</v>
      </c>
      <c r="U97" s="186">
        <v>5.1340235427599</v>
      </c>
      <c r="V97" s="172">
        <v>2</v>
      </c>
      <c r="W97" s="318"/>
    </row>
    <row r="98" spans="1:23" ht="15">
      <c r="A98" s="310"/>
      <c r="B98" s="310"/>
      <c r="C98" s="312"/>
      <c r="D98" s="175" t="s">
        <v>62</v>
      </c>
      <c r="E98" s="173">
        <v>97.3</v>
      </c>
      <c r="F98" s="174">
        <v>148</v>
      </c>
      <c r="G98" s="173">
        <v>8.4</v>
      </c>
      <c r="H98" s="173">
        <v>33.83</v>
      </c>
      <c r="I98" s="173">
        <f t="shared" si="8"/>
        <v>302.738095238095</v>
      </c>
      <c r="J98" s="173">
        <v>25.1</v>
      </c>
      <c r="K98" s="173">
        <f t="shared" si="9"/>
        <v>74.1945019213716</v>
      </c>
      <c r="L98" s="173">
        <v>137.4</v>
      </c>
      <c r="M98" s="173">
        <v>123.9</v>
      </c>
      <c r="N98" s="173">
        <v>90.2</v>
      </c>
      <c r="O98" s="173">
        <v>26.1</v>
      </c>
      <c r="P98" s="173">
        <v>169.25</v>
      </c>
      <c r="Q98" s="173">
        <v>176.45</v>
      </c>
      <c r="R98" s="173"/>
      <c r="S98" s="173">
        <f t="shared" si="10"/>
        <v>172.85</v>
      </c>
      <c r="T98" s="185">
        <f>S98*3.998</f>
        <v>691.0543</v>
      </c>
      <c r="U98" s="186">
        <v>10.4967077926229</v>
      </c>
      <c r="V98" s="172">
        <v>3</v>
      </c>
      <c r="W98" s="318"/>
    </row>
    <row r="99" spans="1:23" ht="14.25">
      <c r="A99" s="310"/>
      <c r="B99" s="310"/>
      <c r="C99" s="313"/>
      <c r="D99" s="176" t="s">
        <v>30</v>
      </c>
      <c r="E99" s="177">
        <f aca="true" t="shared" si="11" ref="E99:Q99">AVERAGE(E89:E98)</f>
        <v>102.48</v>
      </c>
      <c r="F99" s="188">
        <f t="shared" si="11"/>
        <v>149.9</v>
      </c>
      <c r="G99" s="177">
        <f t="shared" si="11"/>
        <v>7.788</v>
      </c>
      <c r="H99" s="177">
        <f t="shared" si="11"/>
        <v>31.938</v>
      </c>
      <c r="I99" s="177">
        <f t="shared" si="11"/>
        <v>311.205652940703</v>
      </c>
      <c r="J99" s="177">
        <f t="shared" si="11"/>
        <v>22.434</v>
      </c>
      <c r="K99" s="177">
        <f t="shared" si="11"/>
        <v>71.1379271275563</v>
      </c>
      <c r="L99" s="177">
        <f t="shared" si="11"/>
        <v>136.492</v>
      </c>
      <c r="M99" s="177">
        <f t="shared" si="11"/>
        <v>126.501</v>
      </c>
      <c r="N99" s="177">
        <f t="shared" si="11"/>
        <v>92.681</v>
      </c>
      <c r="O99" s="177">
        <f t="shared" si="11"/>
        <v>26.999</v>
      </c>
      <c r="P99" s="177">
        <f t="shared" si="11"/>
        <v>237.016</v>
      </c>
      <c r="Q99" s="177">
        <f t="shared" si="11"/>
        <v>239.877</v>
      </c>
      <c r="R99" s="177"/>
      <c r="S99" s="177">
        <f>AVERAGE(S89:S98)</f>
        <v>238.4465</v>
      </c>
      <c r="T99" s="177">
        <f>AVERAGE(T89:T98)</f>
        <v>714.071086</v>
      </c>
      <c r="U99" s="190" t="e">
        <f>(T99-T110)/T110*100</f>
        <v>#DIV/0!</v>
      </c>
      <c r="V99" s="189">
        <v>1</v>
      </c>
      <c r="W99" s="318"/>
    </row>
  </sheetData>
  <sheetProtection/>
  <mergeCells count="27">
    <mergeCell ref="C89:C99"/>
    <mergeCell ref="D2:D3"/>
    <mergeCell ref="W2:W3"/>
    <mergeCell ref="W4:W99"/>
    <mergeCell ref="C36:C45"/>
    <mergeCell ref="C46:C56"/>
    <mergeCell ref="C57:C67"/>
    <mergeCell ref="C68:C77"/>
    <mergeCell ref="C78:C88"/>
    <mergeCell ref="P2:S2"/>
    <mergeCell ref="C4:C13"/>
    <mergeCell ref="C14:C24"/>
    <mergeCell ref="C25:C35"/>
    <mergeCell ref="A89:A99"/>
    <mergeCell ref="B2:B3"/>
    <mergeCell ref="B4:B35"/>
    <mergeCell ref="B36:B67"/>
    <mergeCell ref="B68:B99"/>
    <mergeCell ref="A36:A45"/>
    <mergeCell ref="A46:A56"/>
    <mergeCell ref="A57:A67"/>
    <mergeCell ref="A68:A77"/>
    <mergeCell ref="A78:A88"/>
    <mergeCell ref="A2:A3"/>
    <mergeCell ref="A4:A13"/>
    <mergeCell ref="A14:A24"/>
    <mergeCell ref="A25:A35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1" sqref="A1:B62"/>
    </sheetView>
  </sheetViews>
  <sheetFormatPr defaultColWidth="9.00390625" defaultRowHeight="15"/>
  <sheetData>
    <row r="1" spans="1:24" ht="13.5">
      <c r="A1" s="310" t="s">
        <v>0</v>
      </c>
      <c r="B1" s="310" t="s">
        <v>1</v>
      </c>
      <c r="C1" s="146" t="s">
        <v>72</v>
      </c>
      <c r="D1" s="333" t="s">
        <v>73</v>
      </c>
      <c r="E1" s="147" t="s">
        <v>74</v>
      </c>
      <c r="F1" s="147" t="s">
        <v>75</v>
      </c>
      <c r="G1" s="147" t="s">
        <v>76</v>
      </c>
      <c r="H1" s="147" t="s">
        <v>77</v>
      </c>
      <c r="I1" s="147" t="s">
        <v>78</v>
      </c>
      <c r="J1" s="147" t="s">
        <v>79</v>
      </c>
      <c r="K1" s="147" t="s">
        <v>80</v>
      </c>
      <c r="L1" s="147" t="s">
        <v>81</v>
      </c>
      <c r="M1" s="147" t="s">
        <v>81</v>
      </c>
      <c r="N1" s="147" t="s">
        <v>82</v>
      </c>
      <c r="O1" s="147" t="s">
        <v>83</v>
      </c>
      <c r="P1" s="336" t="s">
        <v>14</v>
      </c>
      <c r="Q1" s="336"/>
      <c r="R1" s="336"/>
      <c r="S1" s="336"/>
      <c r="T1" s="147" t="s">
        <v>84</v>
      </c>
      <c r="U1" s="159" t="s">
        <v>85</v>
      </c>
      <c r="V1" s="159" t="s">
        <v>86</v>
      </c>
      <c r="W1" s="160" t="s">
        <v>87</v>
      </c>
      <c r="X1" s="316" t="s">
        <v>18</v>
      </c>
    </row>
    <row r="2" spans="1:24" ht="13.5">
      <c r="A2" s="310"/>
      <c r="B2" s="310"/>
      <c r="C2" s="148" t="s">
        <v>88</v>
      </c>
      <c r="D2" s="334"/>
      <c r="E2" s="149" t="s">
        <v>20</v>
      </c>
      <c r="F2" s="149" t="s">
        <v>21</v>
      </c>
      <c r="G2" s="149" t="s">
        <v>22</v>
      </c>
      <c r="H2" s="149" t="s">
        <v>22</v>
      </c>
      <c r="I2" s="149" t="s">
        <v>23</v>
      </c>
      <c r="J2" s="149" t="s">
        <v>22</v>
      </c>
      <c r="K2" s="149" t="s">
        <v>23</v>
      </c>
      <c r="L2" s="149" t="s">
        <v>89</v>
      </c>
      <c r="M2" s="149" t="s">
        <v>90</v>
      </c>
      <c r="N2" s="149" t="s">
        <v>23</v>
      </c>
      <c r="O2" s="149" t="s">
        <v>26</v>
      </c>
      <c r="P2" s="156" t="s">
        <v>91</v>
      </c>
      <c r="Q2" s="156" t="s">
        <v>92</v>
      </c>
      <c r="R2" s="156" t="s">
        <v>93</v>
      </c>
      <c r="S2" s="156" t="s">
        <v>94</v>
      </c>
      <c r="T2" s="149" t="s">
        <v>31</v>
      </c>
      <c r="U2" s="161" t="s">
        <v>32</v>
      </c>
      <c r="V2" s="161" t="s">
        <v>32</v>
      </c>
      <c r="W2" s="162" t="s">
        <v>95</v>
      </c>
      <c r="X2" s="317"/>
    </row>
    <row r="3" spans="1:24" ht="13.5">
      <c r="A3" s="325" t="s">
        <v>34</v>
      </c>
      <c r="B3" s="310" t="s">
        <v>96</v>
      </c>
      <c r="C3" s="337" t="s">
        <v>97</v>
      </c>
      <c r="D3" s="54" t="s">
        <v>98</v>
      </c>
      <c r="E3" s="58">
        <v>90.1</v>
      </c>
      <c r="F3" s="58">
        <v>153</v>
      </c>
      <c r="G3" s="58">
        <v>5.5</v>
      </c>
      <c r="H3" s="58">
        <v>28.1</v>
      </c>
      <c r="I3" s="58">
        <v>410.91</v>
      </c>
      <c r="J3" s="58">
        <v>22.11</v>
      </c>
      <c r="K3" s="58">
        <v>78.68</v>
      </c>
      <c r="L3" s="58">
        <v>131.64</v>
      </c>
      <c r="M3" s="58">
        <v>119.86</v>
      </c>
      <c r="N3" s="58">
        <v>91.05</v>
      </c>
      <c r="O3" s="58">
        <v>26.7</v>
      </c>
      <c r="P3" s="66">
        <v>12.4</v>
      </c>
      <c r="Q3" s="66">
        <v>12.46</v>
      </c>
      <c r="R3" s="66">
        <v>12.25</v>
      </c>
      <c r="S3" s="66">
        <v>12.37</v>
      </c>
      <c r="T3" s="58">
        <v>618.5</v>
      </c>
      <c r="U3" s="34">
        <f>100*(T3-563.5)/563.5</f>
        <v>9.76042590949423</v>
      </c>
      <c r="V3" s="34">
        <f>100*(T3-531.5)/531.5</f>
        <v>16.3687676387582</v>
      </c>
      <c r="W3" s="18">
        <v>3</v>
      </c>
      <c r="X3" s="318" t="s">
        <v>99</v>
      </c>
    </row>
    <row r="4" spans="1:24" ht="13.5">
      <c r="A4" s="310"/>
      <c r="B4" s="310"/>
      <c r="C4" s="327"/>
      <c r="D4" s="54" t="s">
        <v>100</v>
      </c>
      <c r="E4" s="58">
        <v>101</v>
      </c>
      <c r="F4" s="58">
        <v>151</v>
      </c>
      <c r="G4" s="58">
        <v>7.9</v>
      </c>
      <c r="H4" s="58">
        <v>26.2</v>
      </c>
      <c r="I4" s="58">
        <v>232</v>
      </c>
      <c r="J4" s="58">
        <v>18.8</v>
      </c>
      <c r="K4" s="58">
        <v>71.8</v>
      </c>
      <c r="L4" s="58">
        <v>147</v>
      </c>
      <c r="M4" s="58">
        <v>135</v>
      </c>
      <c r="N4" s="58">
        <v>93.2</v>
      </c>
      <c r="O4" s="58">
        <v>27.1</v>
      </c>
      <c r="P4" s="66">
        <v>13.32</v>
      </c>
      <c r="Q4" s="66">
        <v>13.41</v>
      </c>
      <c r="R4" s="66">
        <v>12.93</v>
      </c>
      <c r="S4" s="66">
        <v>13.22</v>
      </c>
      <c r="T4" s="58">
        <v>661</v>
      </c>
      <c r="U4" s="34">
        <f>100*(T4-592.5)/592.5</f>
        <v>11.5611814345992</v>
      </c>
      <c r="V4" s="34">
        <f>100*(T4-601.5)/601.5</f>
        <v>9.89193682460515</v>
      </c>
      <c r="W4" s="18">
        <v>1</v>
      </c>
      <c r="X4" s="335"/>
    </row>
    <row r="5" spans="1:24" ht="13.5">
      <c r="A5" s="310"/>
      <c r="B5" s="310"/>
      <c r="C5" s="327"/>
      <c r="D5" s="54" t="s">
        <v>101</v>
      </c>
      <c r="E5" s="58">
        <v>98</v>
      </c>
      <c r="F5" s="58">
        <v>156</v>
      </c>
      <c r="G5" s="58">
        <v>4.8</v>
      </c>
      <c r="H5" s="58">
        <v>30.6</v>
      </c>
      <c r="I5" s="58">
        <v>537.5</v>
      </c>
      <c r="J5" s="58">
        <v>21.7</v>
      </c>
      <c r="K5" s="58">
        <v>71</v>
      </c>
      <c r="L5" s="58">
        <v>157.5</v>
      </c>
      <c r="M5" s="58">
        <v>149.6</v>
      </c>
      <c r="N5" s="58">
        <v>95</v>
      </c>
      <c r="O5" s="58">
        <v>25.77</v>
      </c>
      <c r="P5" s="66">
        <v>14.92</v>
      </c>
      <c r="Q5" s="66">
        <v>14.56</v>
      </c>
      <c r="R5" s="66">
        <v>14.72</v>
      </c>
      <c r="S5" s="66">
        <v>14.73</v>
      </c>
      <c r="T5" s="58">
        <v>736.7</v>
      </c>
      <c r="U5" s="34">
        <f>100*(T5-686.8)/686.8</f>
        <v>7.2655794991264</v>
      </c>
      <c r="V5" s="34">
        <f>100*(T5-660.8)/660.8</f>
        <v>11.4860774818402</v>
      </c>
      <c r="W5" s="18">
        <v>1</v>
      </c>
      <c r="X5" s="335"/>
    </row>
    <row r="6" spans="1:24" ht="13.5">
      <c r="A6" s="310"/>
      <c r="B6" s="310"/>
      <c r="C6" s="327"/>
      <c r="D6" s="54" t="s">
        <v>102</v>
      </c>
      <c r="E6" s="58">
        <v>101.5</v>
      </c>
      <c r="F6" s="58">
        <v>162</v>
      </c>
      <c r="G6" s="58">
        <v>7.86</v>
      </c>
      <c r="H6" s="58">
        <v>32.09</v>
      </c>
      <c r="I6" s="58">
        <v>308</v>
      </c>
      <c r="J6" s="58">
        <v>20.47</v>
      </c>
      <c r="K6" s="58">
        <v>63.79</v>
      </c>
      <c r="L6" s="58">
        <v>155.11</v>
      </c>
      <c r="M6" s="58">
        <v>144.37</v>
      </c>
      <c r="N6" s="58">
        <v>93.08</v>
      </c>
      <c r="O6" s="58">
        <v>25.1</v>
      </c>
      <c r="P6" s="66">
        <v>14.9</v>
      </c>
      <c r="Q6" s="66">
        <v>15.2</v>
      </c>
      <c r="R6" s="66">
        <v>15</v>
      </c>
      <c r="S6" s="66">
        <v>15.033</v>
      </c>
      <c r="T6" s="58">
        <v>751.65</v>
      </c>
      <c r="U6" s="34">
        <f>100*(T6-667.65)/667.65</f>
        <v>12.5814423725006</v>
      </c>
      <c r="V6" s="34">
        <f>100*(T6-637.5)/637.5</f>
        <v>17.9058823529412</v>
      </c>
      <c r="W6" s="18">
        <v>2</v>
      </c>
      <c r="X6" s="335"/>
    </row>
    <row r="7" spans="1:24" ht="13.5">
      <c r="A7" s="310"/>
      <c r="B7" s="310"/>
      <c r="C7" s="327"/>
      <c r="D7" s="54" t="s">
        <v>103</v>
      </c>
      <c r="E7" s="58">
        <v>85</v>
      </c>
      <c r="F7" s="58">
        <v>149</v>
      </c>
      <c r="G7" s="58">
        <v>9.78</v>
      </c>
      <c r="H7" s="58">
        <v>34.55</v>
      </c>
      <c r="I7" s="58">
        <v>3.53</v>
      </c>
      <c r="J7" s="58">
        <v>23.94</v>
      </c>
      <c r="K7" s="58">
        <v>69.29</v>
      </c>
      <c r="L7" s="58">
        <v>132.27</v>
      </c>
      <c r="M7" s="58">
        <v>122.39</v>
      </c>
      <c r="N7" s="58">
        <v>92.53</v>
      </c>
      <c r="O7" s="58">
        <v>25.7</v>
      </c>
      <c r="P7" s="66">
        <v>15</v>
      </c>
      <c r="Q7" s="66">
        <v>14.35</v>
      </c>
      <c r="R7" s="66">
        <v>14.9</v>
      </c>
      <c r="S7" s="66">
        <v>14.75</v>
      </c>
      <c r="T7" s="58">
        <v>737.5</v>
      </c>
      <c r="U7" s="34">
        <f>100*(T7-665)/665</f>
        <v>10.9022556390977</v>
      </c>
      <c r="V7" s="34">
        <f>100*(T7-693.33)/693.33</f>
        <v>6.37070370530627</v>
      </c>
      <c r="W7" s="18">
        <v>2</v>
      </c>
      <c r="X7" s="335"/>
    </row>
    <row r="8" spans="1:24" ht="13.5">
      <c r="A8" s="310"/>
      <c r="B8" s="310"/>
      <c r="C8" s="327"/>
      <c r="D8" s="54" t="s">
        <v>104</v>
      </c>
      <c r="E8" s="58">
        <v>98.6</v>
      </c>
      <c r="F8" s="58">
        <v>151</v>
      </c>
      <c r="G8" s="58">
        <v>7.1</v>
      </c>
      <c r="H8" s="58">
        <v>26.8</v>
      </c>
      <c r="I8" s="58">
        <v>277.46</v>
      </c>
      <c r="J8" s="58">
        <v>18.9</v>
      </c>
      <c r="K8" s="58">
        <v>70.52</v>
      </c>
      <c r="L8" s="58">
        <v>155.8</v>
      </c>
      <c r="M8" s="58">
        <v>141.9</v>
      </c>
      <c r="N8" s="58">
        <v>91.08</v>
      </c>
      <c r="O8" s="58">
        <v>26.9</v>
      </c>
      <c r="P8" s="66">
        <v>14.03</v>
      </c>
      <c r="Q8" s="66">
        <v>14.68</v>
      </c>
      <c r="R8" s="66">
        <v>14.4</v>
      </c>
      <c r="S8" s="66">
        <v>14.35</v>
      </c>
      <c r="T8" s="58">
        <v>718.5</v>
      </c>
      <c r="U8" s="34">
        <f>100*(T8-640)/640</f>
        <v>12.265625</v>
      </c>
      <c r="V8" s="34">
        <f>100*(T8-658.5)/658.5</f>
        <v>9.11161731207289</v>
      </c>
      <c r="W8" s="18">
        <v>2</v>
      </c>
      <c r="X8" s="335"/>
    </row>
    <row r="9" spans="1:24" ht="13.5">
      <c r="A9" s="310"/>
      <c r="B9" s="310"/>
      <c r="C9" s="327"/>
      <c r="D9" s="54" t="s">
        <v>105</v>
      </c>
      <c r="E9" s="58">
        <v>106</v>
      </c>
      <c r="F9" s="58">
        <v>156</v>
      </c>
      <c r="G9" s="58">
        <v>8.13</v>
      </c>
      <c r="H9" s="58">
        <v>29.33</v>
      </c>
      <c r="I9" s="58">
        <v>260.8</v>
      </c>
      <c r="J9" s="58">
        <v>17</v>
      </c>
      <c r="K9" s="58">
        <v>58</v>
      </c>
      <c r="L9" s="58">
        <v>141.4</v>
      </c>
      <c r="M9" s="58">
        <v>128.5</v>
      </c>
      <c r="N9" s="58">
        <v>90.9</v>
      </c>
      <c r="O9" s="58">
        <v>23.8</v>
      </c>
      <c r="P9" s="66">
        <v>12.13</v>
      </c>
      <c r="Q9" s="66">
        <v>12.74</v>
      </c>
      <c r="R9" s="66">
        <v>12.71</v>
      </c>
      <c r="S9" s="66">
        <v>12.53</v>
      </c>
      <c r="T9" s="58">
        <v>626.5</v>
      </c>
      <c r="U9" s="34">
        <f>100*(T9-578)/578</f>
        <v>8.39100346020761</v>
      </c>
      <c r="V9" s="34">
        <f>100*(T9-605.5)/605.5</f>
        <v>3.46820809248555</v>
      </c>
      <c r="W9" s="18">
        <v>8</v>
      </c>
      <c r="X9" s="335"/>
    </row>
    <row r="10" spans="1:24" ht="13.5">
      <c r="A10" s="310"/>
      <c r="B10" s="310"/>
      <c r="C10" s="327"/>
      <c r="D10" s="54" t="s">
        <v>106</v>
      </c>
      <c r="E10" s="58">
        <v>94.5</v>
      </c>
      <c r="F10" s="58">
        <v>146</v>
      </c>
      <c r="G10" s="58">
        <v>6</v>
      </c>
      <c r="H10" s="58">
        <v>29.3</v>
      </c>
      <c r="I10" s="58">
        <v>388.33</v>
      </c>
      <c r="J10" s="58">
        <v>19.95</v>
      </c>
      <c r="K10" s="58">
        <v>68.09</v>
      </c>
      <c r="L10" s="58">
        <v>177.94</v>
      </c>
      <c r="M10" s="58">
        <v>121.46</v>
      </c>
      <c r="N10" s="58">
        <v>68.26</v>
      </c>
      <c r="O10" s="58">
        <v>22.7</v>
      </c>
      <c r="P10" s="66">
        <v>12.79</v>
      </c>
      <c r="Q10" s="66">
        <v>12.48</v>
      </c>
      <c r="R10" s="66">
        <v>12.11</v>
      </c>
      <c r="S10" s="66">
        <v>12.46</v>
      </c>
      <c r="T10" s="58">
        <v>623</v>
      </c>
      <c r="U10" s="34">
        <f>100*(T10-655.17)/655.17</f>
        <v>-4.91017598485889</v>
      </c>
      <c r="V10" s="34">
        <f>100*(T10-540.67)/540.67</f>
        <v>15.2274030369727</v>
      </c>
      <c r="W10" s="18">
        <v>6</v>
      </c>
      <c r="X10" s="335"/>
    </row>
    <row r="11" spans="1:24" ht="13.5">
      <c r="A11" s="310"/>
      <c r="B11" s="310"/>
      <c r="C11" s="327"/>
      <c r="D11" s="54" t="s">
        <v>107</v>
      </c>
      <c r="E11" s="58">
        <v>96.8</v>
      </c>
      <c r="F11" s="58">
        <v>153</v>
      </c>
      <c r="G11" s="58">
        <v>8.6</v>
      </c>
      <c r="H11" s="58">
        <v>32.91</v>
      </c>
      <c r="I11" s="58">
        <v>3.83</v>
      </c>
      <c r="J11" s="58">
        <v>20.3</v>
      </c>
      <c r="K11" s="58">
        <v>61.68</v>
      </c>
      <c r="L11" s="58">
        <v>160.3</v>
      </c>
      <c r="M11" s="58">
        <v>142.6</v>
      </c>
      <c r="N11" s="58">
        <v>88.96</v>
      </c>
      <c r="O11" s="58">
        <v>25.14</v>
      </c>
      <c r="P11" s="66">
        <v>13.78</v>
      </c>
      <c r="Q11" s="66">
        <v>13.36</v>
      </c>
      <c r="R11" s="66">
        <v>13.17</v>
      </c>
      <c r="S11" s="66">
        <v>13.44</v>
      </c>
      <c r="T11" s="58">
        <v>672</v>
      </c>
      <c r="U11" s="34">
        <f>100*(T11-586)/586</f>
        <v>14.6757679180887</v>
      </c>
      <c r="V11" s="34">
        <f>100*(T11-612.5)/612.5</f>
        <v>9.71428571428571</v>
      </c>
      <c r="W11" s="18">
        <v>1</v>
      </c>
      <c r="X11" s="335"/>
    </row>
    <row r="12" spans="1:24" ht="13.5">
      <c r="A12" s="310"/>
      <c r="B12" s="310"/>
      <c r="C12" s="327"/>
      <c r="D12" s="29" t="s">
        <v>30</v>
      </c>
      <c r="E12" s="60">
        <f aca="true" t="shared" si="0" ref="E12:T12">AVERAGE(E3:E11)</f>
        <v>96.8333333333333</v>
      </c>
      <c r="F12" s="60">
        <f t="shared" si="0"/>
        <v>153</v>
      </c>
      <c r="G12" s="60">
        <f t="shared" si="0"/>
        <v>7.29666666666667</v>
      </c>
      <c r="H12" s="60">
        <f t="shared" si="0"/>
        <v>29.9866666666667</v>
      </c>
      <c r="I12" s="60">
        <f t="shared" si="0"/>
        <v>269.151111111111</v>
      </c>
      <c r="J12" s="60">
        <f t="shared" si="0"/>
        <v>20.3522222222222</v>
      </c>
      <c r="K12" s="60">
        <f t="shared" si="0"/>
        <v>68.0944444444444</v>
      </c>
      <c r="L12" s="60">
        <f t="shared" si="0"/>
        <v>150.995555555556</v>
      </c>
      <c r="M12" s="60">
        <f t="shared" si="0"/>
        <v>133.964444444444</v>
      </c>
      <c r="N12" s="60">
        <f t="shared" si="0"/>
        <v>89.34</v>
      </c>
      <c r="O12" s="60">
        <f t="shared" si="0"/>
        <v>25.4344444444444</v>
      </c>
      <c r="P12" s="68">
        <f t="shared" si="0"/>
        <v>13.6966666666667</v>
      </c>
      <c r="Q12" s="68">
        <f t="shared" si="0"/>
        <v>13.6933333333333</v>
      </c>
      <c r="R12" s="68">
        <f t="shared" si="0"/>
        <v>13.5766666666667</v>
      </c>
      <c r="S12" s="68">
        <f t="shared" si="0"/>
        <v>13.6536666666667</v>
      </c>
      <c r="T12" s="60">
        <f t="shared" si="0"/>
        <v>682.816666666667</v>
      </c>
      <c r="U12" s="51">
        <v>9.06394918566082</v>
      </c>
      <c r="V12" s="51">
        <v>10.8900653934433</v>
      </c>
      <c r="W12" s="73">
        <v>2</v>
      </c>
      <c r="X12" s="335"/>
    </row>
    <row r="13" spans="1:24" ht="15">
      <c r="A13" s="325" t="s">
        <v>47</v>
      </c>
      <c r="B13" s="310"/>
      <c r="C13" s="328" t="s">
        <v>108</v>
      </c>
      <c r="D13" s="150" t="s">
        <v>109</v>
      </c>
      <c r="E13" s="102">
        <v>97.8</v>
      </c>
      <c r="F13" s="102">
        <v>159</v>
      </c>
      <c r="G13" s="133">
        <v>6.6</v>
      </c>
      <c r="H13" s="123">
        <v>30.6</v>
      </c>
      <c r="I13" s="123">
        <f aca="true" t="shared" si="1" ref="I13:I22">(H13-G13)/G13*100</f>
        <v>363.636363636364</v>
      </c>
      <c r="J13" s="123">
        <v>21.4</v>
      </c>
      <c r="K13" s="123">
        <f aca="true" t="shared" si="2" ref="K13:K22">J13/H13*100</f>
        <v>69.9346405228758</v>
      </c>
      <c r="L13" s="123">
        <v>139.6</v>
      </c>
      <c r="M13" s="123">
        <v>129.3</v>
      </c>
      <c r="N13" s="123">
        <f aca="true" t="shared" si="3" ref="N13:N23">M13/L13*100</f>
        <v>92.621776504298</v>
      </c>
      <c r="O13" s="123">
        <v>27.68</v>
      </c>
      <c r="P13" s="106">
        <v>12.68</v>
      </c>
      <c r="Q13" s="106">
        <v>12.96</v>
      </c>
      <c r="R13" s="106">
        <v>12.97</v>
      </c>
      <c r="S13" s="133">
        <f aca="true" t="shared" si="4" ref="S13:S22">AVERAGE(P13:R13)</f>
        <v>12.87</v>
      </c>
      <c r="T13" s="123">
        <f aca="true" t="shared" si="5" ref="T13:T22">S13*50</f>
        <v>643.5</v>
      </c>
      <c r="U13" s="134">
        <v>13.2385786802031</v>
      </c>
      <c r="V13" s="163">
        <v>1</v>
      </c>
      <c r="W13" s="73"/>
      <c r="X13" s="335"/>
    </row>
    <row r="14" spans="1:24" ht="15">
      <c r="A14" s="310"/>
      <c r="B14" s="310"/>
      <c r="C14" s="329"/>
      <c r="D14" s="150" t="s">
        <v>110</v>
      </c>
      <c r="E14" s="102">
        <v>98</v>
      </c>
      <c r="F14" s="102">
        <v>153</v>
      </c>
      <c r="G14" s="133">
        <v>6.8</v>
      </c>
      <c r="H14" s="123">
        <v>32.9</v>
      </c>
      <c r="I14" s="123">
        <f t="shared" si="1"/>
        <v>383.823529411765</v>
      </c>
      <c r="J14" s="123">
        <v>21.6</v>
      </c>
      <c r="K14" s="123">
        <f t="shared" si="2"/>
        <v>65.6534954407295</v>
      </c>
      <c r="L14" s="123">
        <v>124</v>
      </c>
      <c r="M14" s="123">
        <v>114</v>
      </c>
      <c r="N14" s="123">
        <f t="shared" si="3"/>
        <v>91.9354838709677</v>
      </c>
      <c r="O14" s="123">
        <v>26.4</v>
      </c>
      <c r="P14" s="106">
        <v>12.16</v>
      </c>
      <c r="Q14" s="106">
        <v>12.1</v>
      </c>
      <c r="R14" s="106">
        <v>12.49</v>
      </c>
      <c r="S14" s="133">
        <f t="shared" si="4"/>
        <v>12.25</v>
      </c>
      <c r="T14" s="123">
        <f t="shared" si="5"/>
        <v>612.5</v>
      </c>
      <c r="U14" s="134">
        <v>4.45362718089991</v>
      </c>
      <c r="V14" s="163">
        <v>1</v>
      </c>
      <c r="W14" s="73"/>
      <c r="X14" s="335"/>
    </row>
    <row r="15" spans="1:24" ht="15">
      <c r="A15" s="310"/>
      <c r="B15" s="310"/>
      <c r="C15" s="329"/>
      <c r="D15" s="150" t="s">
        <v>111</v>
      </c>
      <c r="E15" s="102">
        <v>90.2</v>
      </c>
      <c r="F15" s="102">
        <v>158</v>
      </c>
      <c r="G15" s="133">
        <v>9.9</v>
      </c>
      <c r="H15" s="123">
        <v>37.1</v>
      </c>
      <c r="I15" s="123">
        <f t="shared" si="1"/>
        <v>274.747474747475</v>
      </c>
      <c r="J15" s="123">
        <v>18.9</v>
      </c>
      <c r="K15" s="123">
        <f t="shared" si="2"/>
        <v>50.9433962264151</v>
      </c>
      <c r="L15" s="123">
        <v>146.1</v>
      </c>
      <c r="M15" s="123">
        <v>144.5</v>
      </c>
      <c r="N15" s="123">
        <f t="shared" si="3"/>
        <v>98.9048596851472</v>
      </c>
      <c r="O15" s="123">
        <v>25.55</v>
      </c>
      <c r="P15" s="106">
        <v>12.66</v>
      </c>
      <c r="Q15" s="106">
        <v>13.83</v>
      </c>
      <c r="R15" s="106">
        <v>12.7</v>
      </c>
      <c r="S15" s="133">
        <f t="shared" si="4"/>
        <v>13.0633333333333</v>
      </c>
      <c r="T15" s="123">
        <f t="shared" si="5"/>
        <v>653.166666666667</v>
      </c>
      <c r="U15" s="134">
        <v>-1.63532455496774</v>
      </c>
      <c r="V15" s="163">
        <v>8</v>
      </c>
      <c r="W15" s="73"/>
      <c r="X15" s="335"/>
    </row>
    <row r="16" spans="1:24" ht="15">
      <c r="A16" s="310"/>
      <c r="B16" s="310"/>
      <c r="C16" s="329"/>
      <c r="D16" s="150" t="s">
        <v>112</v>
      </c>
      <c r="E16" s="102">
        <v>98</v>
      </c>
      <c r="F16" s="102">
        <v>168</v>
      </c>
      <c r="G16" s="133">
        <v>8.35</v>
      </c>
      <c r="H16" s="123">
        <v>30.34</v>
      </c>
      <c r="I16" s="123">
        <f t="shared" si="1"/>
        <v>263.353293413174</v>
      </c>
      <c r="J16" s="123">
        <v>21.1</v>
      </c>
      <c r="K16" s="123">
        <f t="shared" si="2"/>
        <v>69.5451549110086</v>
      </c>
      <c r="L16" s="123">
        <v>154.58</v>
      </c>
      <c r="M16" s="123">
        <v>149.9</v>
      </c>
      <c r="N16" s="123">
        <f t="shared" si="3"/>
        <v>96.9724414542632</v>
      </c>
      <c r="O16" s="123">
        <v>25.5</v>
      </c>
      <c r="P16" s="106">
        <v>15.2</v>
      </c>
      <c r="Q16" s="106">
        <v>15.35</v>
      </c>
      <c r="R16" s="106">
        <v>15.6</v>
      </c>
      <c r="S16" s="133">
        <f t="shared" si="4"/>
        <v>15.3833333333333</v>
      </c>
      <c r="T16" s="123">
        <f t="shared" si="5"/>
        <v>769.166666666667</v>
      </c>
      <c r="U16" s="134">
        <v>2.72061089614081</v>
      </c>
      <c r="V16" s="163">
        <v>3</v>
      </c>
      <c r="W16" s="73"/>
      <c r="X16" s="335"/>
    </row>
    <row r="17" spans="1:24" ht="15">
      <c r="A17" s="310"/>
      <c r="B17" s="310"/>
      <c r="C17" s="329"/>
      <c r="D17" s="150" t="s">
        <v>39</v>
      </c>
      <c r="E17" s="102">
        <v>100.7</v>
      </c>
      <c r="F17" s="102">
        <v>161</v>
      </c>
      <c r="G17" s="133">
        <v>7.8</v>
      </c>
      <c r="H17" s="123">
        <v>37.9</v>
      </c>
      <c r="I17" s="123">
        <f t="shared" si="1"/>
        <v>385.897435897436</v>
      </c>
      <c r="J17" s="123">
        <v>23.1</v>
      </c>
      <c r="K17" s="123">
        <f t="shared" si="2"/>
        <v>60.9498680738786</v>
      </c>
      <c r="L17" s="123">
        <v>128.2</v>
      </c>
      <c r="M17" s="123">
        <v>114.7</v>
      </c>
      <c r="N17" s="123">
        <f t="shared" si="3"/>
        <v>89.4695787831513</v>
      </c>
      <c r="O17" s="123">
        <v>26.2</v>
      </c>
      <c r="P17" s="157">
        <v>13.5</v>
      </c>
      <c r="Q17" s="157">
        <v>13.15</v>
      </c>
      <c r="R17" s="157">
        <v>12.85</v>
      </c>
      <c r="S17" s="133">
        <f t="shared" si="4"/>
        <v>13.1666666666667</v>
      </c>
      <c r="T17" s="123">
        <f t="shared" si="5"/>
        <v>658.333333333333</v>
      </c>
      <c r="U17" s="134">
        <v>3.74785331851704</v>
      </c>
      <c r="V17" s="163">
        <v>3</v>
      </c>
      <c r="W17" s="73"/>
      <c r="X17" s="335"/>
    </row>
    <row r="18" spans="1:24" ht="15">
      <c r="A18" s="310"/>
      <c r="B18" s="310"/>
      <c r="C18" s="329"/>
      <c r="D18" s="151" t="s">
        <v>37</v>
      </c>
      <c r="E18" s="102">
        <v>107</v>
      </c>
      <c r="F18" s="102">
        <v>170</v>
      </c>
      <c r="G18" s="152">
        <v>7.4</v>
      </c>
      <c r="H18" s="123">
        <v>27.2</v>
      </c>
      <c r="I18" s="123">
        <f t="shared" si="1"/>
        <v>267.567567567567</v>
      </c>
      <c r="J18" s="123">
        <v>17.6</v>
      </c>
      <c r="K18" s="123">
        <f t="shared" si="2"/>
        <v>64.7058823529412</v>
      </c>
      <c r="L18" s="123">
        <v>136.8</v>
      </c>
      <c r="M18" s="123">
        <v>132.1</v>
      </c>
      <c r="N18" s="123">
        <f t="shared" si="3"/>
        <v>96.5643274853801</v>
      </c>
      <c r="O18" s="123">
        <v>24.8</v>
      </c>
      <c r="P18" s="106">
        <v>12.666</v>
      </c>
      <c r="Q18" s="106">
        <v>13.12</v>
      </c>
      <c r="R18" s="106">
        <v>13.174</v>
      </c>
      <c r="S18" s="133">
        <f t="shared" si="4"/>
        <v>12.9866666666667</v>
      </c>
      <c r="T18" s="123">
        <f t="shared" si="5"/>
        <v>649.333333333333</v>
      </c>
      <c r="U18" s="134">
        <v>5.7932719923968</v>
      </c>
      <c r="V18" s="163">
        <v>2</v>
      </c>
      <c r="W18" s="73"/>
      <c r="X18" s="335"/>
    </row>
    <row r="19" spans="1:24" ht="15">
      <c r="A19" s="310"/>
      <c r="B19" s="310"/>
      <c r="C19" s="329"/>
      <c r="D19" s="150" t="s">
        <v>113</v>
      </c>
      <c r="E19" s="102">
        <v>96.4</v>
      </c>
      <c r="F19" s="102">
        <v>168</v>
      </c>
      <c r="G19" s="133">
        <v>9</v>
      </c>
      <c r="H19" s="123">
        <v>33.4</v>
      </c>
      <c r="I19" s="123">
        <f t="shared" si="1"/>
        <v>271.111111111111</v>
      </c>
      <c r="J19" s="123">
        <v>21.2</v>
      </c>
      <c r="K19" s="123">
        <f t="shared" si="2"/>
        <v>63.4730538922156</v>
      </c>
      <c r="L19" s="123">
        <v>159</v>
      </c>
      <c r="M19" s="123">
        <v>124</v>
      </c>
      <c r="N19" s="123">
        <f t="shared" si="3"/>
        <v>77.9874213836478</v>
      </c>
      <c r="O19" s="123">
        <v>24.3</v>
      </c>
      <c r="P19" s="106">
        <v>12.77</v>
      </c>
      <c r="Q19" s="106">
        <v>13.14</v>
      </c>
      <c r="R19" s="106">
        <v>12.68</v>
      </c>
      <c r="S19" s="133">
        <f t="shared" si="4"/>
        <v>12.8633333333333</v>
      </c>
      <c r="T19" s="123">
        <f t="shared" si="5"/>
        <v>643.166666666667</v>
      </c>
      <c r="U19" s="134">
        <v>5.38178762735006</v>
      </c>
      <c r="V19" s="163">
        <v>3</v>
      </c>
      <c r="W19" s="73"/>
      <c r="X19" s="335"/>
    </row>
    <row r="20" spans="1:24" ht="15">
      <c r="A20" s="310"/>
      <c r="B20" s="310"/>
      <c r="C20" s="329"/>
      <c r="D20" s="150" t="s">
        <v>114</v>
      </c>
      <c r="E20" s="102">
        <v>100.75</v>
      </c>
      <c r="F20" s="153">
        <v>160</v>
      </c>
      <c r="G20" s="152">
        <v>8.1</v>
      </c>
      <c r="H20" s="154">
        <v>39.3</v>
      </c>
      <c r="I20" s="123">
        <f t="shared" si="1"/>
        <v>385.185185185185</v>
      </c>
      <c r="J20" s="154">
        <v>19.68</v>
      </c>
      <c r="K20" s="123">
        <f t="shared" si="2"/>
        <v>50.0763358778626</v>
      </c>
      <c r="L20" s="154">
        <v>142.1</v>
      </c>
      <c r="M20" s="154">
        <v>131.2</v>
      </c>
      <c r="N20" s="123">
        <f t="shared" si="3"/>
        <v>92.329345531316</v>
      </c>
      <c r="O20" s="123">
        <v>28.2</v>
      </c>
      <c r="P20" s="157">
        <v>12.63</v>
      </c>
      <c r="Q20" s="157">
        <v>11.72</v>
      </c>
      <c r="R20" s="157">
        <v>12.91</v>
      </c>
      <c r="S20" s="133">
        <f t="shared" si="4"/>
        <v>12.42</v>
      </c>
      <c r="T20" s="123">
        <f t="shared" si="5"/>
        <v>621</v>
      </c>
      <c r="U20" s="134">
        <v>6.16780641767491</v>
      </c>
      <c r="V20" s="163">
        <v>2</v>
      </c>
      <c r="W20" s="73"/>
      <c r="X20" s="335"/>
    </row>
    <row r="21" spans="1:24" ht="15">
      <c r="A21" s="310"/>
      <c r="B21" s="310"/>
      <c r="C21" s="329"/>
      <c r="D21" s="150" t="s">
        <v>115</v>
      </c>
      <c r="E21" s="102">
        <v>101</v>
      </c>
      <c r="F21" s="102">
        <v>157</v>
      </c>
      <c r="G21" s="133">
        <v>11.7</v>
      </c>
      <c r="H21" s="123">
        <v>39.7</v>
      </c>
      <c r="I21" s="123">
        <f t="shared" si="1"/>
        <v>239.316239316239</v>
      </c>
      <c r="J21" s="123">
        <v>20.69</v>
      </c>
      <c r="K21" s="123">
        <f t="shared" si="2"/>
        <v>52.1158690176322</v>
      </c>
      <c r="L21" s="123">
        <v>161.7</v>
      </c>
      <c r="M21" s="123">
        <v>151.8</v>
      </c>
      <c r="N21" s="123">
        <f t="shared" si="3"/>
        <v>93.8775510204082</v>
      </c>
      <c r="O21" s="123">
        <v>24.9</v>
      </c>
      <c r="P21" s="158">
        <v>14.2</v>
      </c>
      <c r="Q21" s="158">
        <v>14.6</v>
      </c>
      <c r="R21" s="158">
        <v>14</v>
      </c>
      <c r="S21" s="133">
        <f t="shared" si="4"/>
        <v>14.2666666666667</v>
      </c>
      <c r="T21" s="123">
        <f t="shared" si="5"/>
        <v>713.333333333333</v>
      </c>
      <c r="U21" s="134">
        <v>3.55481109249949</v>
      </c>
      <c r="V21" s="163">
        <v>2</v>
      </c>
      <c r="W21" s="73"/>
      <c r="X21" s="335"/>
    </row>
    <row r="22" spans="1:24" ht="15">
      <c r="A22" s="310"/>
      <c r="B22" s="310"/>
      <c r="C22" s="329"/>
      <c r="D22" s="150" t="s">
        <v>116</v>
      </c>
      <c r="E22" s="102">
        <v>96.6</v>
      </c>
      <c r="F22" s="102">
        <v>153</v>
      </c>
      <c r="G22" s="133">
        <v>8.4</v>
      </c>
      <c r="H22" s="123">
        <v>28.3</v>
      </c>
      <c r="I22" s="123">
        <f t="shared" si="1"/>
        <v>236.904761904762</v>
      </c>
      <c r="J22" s="123">
        <v>16.7</v>
      </c>
      <c r="K22" s="123">
        <f t="shared" si="2"/>
        <v>59.0106007067138</v>
      </c>
      <c r="L22" s="123">
        <v>170.4</v>
      </c>
      <c r="M22" s="123">
        <v>152.1</v>
      </c>
      <c r="N22" s="123">
        <f t="shared" si="3"/>
        <v>89.2605633802817</v>
      </c>
      <c r="O22" s="123">
        <v>27.7</v>
      </c>
      <c r="P22" s="106">
        <v>10.6</v>
      </c>
      <c r="Q22" s="106">
        <v>10.5</v>
      </c>
      <c r="R22" s="106">
        <v>11.7</v>
      </c>
      <c r="S22" s="133">
        <f t="shared" si="4"/>
        <v>10.9333333333333</v>
      </c>
      <c r="T22" s="123">
        <f t="shared" si="5"/>
        <v>546.666666666667</v>
      </c>
      <c r="U22" s="134">
        <v>1.64481525625744</v>
      </c>
      <c r="V22" s="163">
        <v>9</v>
      </c>
      <c r="W22" s="73"/>
      <c r="X22" s="335"/>
    </row>
    <row r="23" spans="1:24" ht="15" customHeight="1">
      <c r="A23" s="310"/>
      <c r="B23" s="310"/>
      <c r="C23" s="330"/>
      <c r="D23" s="155" t="s">
        <v>30</v>
      </c>
      <c r="E23" s="108">
        <f aca="true" t="shared" si="6" ref="E23:M23">AVERAGE(E13:E22)</f>
        <v>98.645</v>
      </c>
      <c r="F23" s="108">
        <f t="shared" si="6"/>
        <v>160.7</v>
      </c>
      <c r="G23" s="108">
        <f t="shared" si="6"/>
        <v>8.405</v>
      </c>
      <c r="H23" s="126">
        <f t="shared" si="6"/>
        <v>33.674</v>
      </c>
      <c r="I23" s="108">
        <f t="shared" si="6"/>
        <v>307.154296219108</v>
      </c>
      <c r="J23" s="126">
        <f t="shared" si="6"/>
        <v>20.197</v>
      </c>
      <c r="K23" s="126">
        <f t="shared" si="6"/>
        <v>60.6408297022273</v>
      </c>
      <c r="L23" s="108">
        <f t="shared" si="6"/>
        <v>146.248</v>
      </c>
      <c r="M23" s="108">
        <f t="shared" si="6"/>
        <v>134.36</v>
      </c>
      <c r="N23" s="108">
        <f t="shared" si="3"/>
        <v>91.8713418303156</v>
      </c>
      <c r="O23" s="108">
        <f aca="true" t="shared" si="7" ref="O23:T23">AVERAGE(O13:O22)</f>
        <v>26.123</v>
      </c>
      <c r="P23" s="109">
        <f t="shared" si="7"/>
        <v>12.9066</v>
      </c>
      <c r="Q23" s="109">
        <f t="shared" si="7"/>
        <v>13.047</v>
      </c>
      <c r="R23" s="109">
        <f t="shared" si="7"/>
        <v>13.1074</v>
      </c>
      <c r="S23" s="109">
        <f t="shared" si="7"/>
        <v>13.0203333333333</v>
      </c>
      <c r="T23" s="126">
        <f t="shared" si="7"/>
        <v>651.016666666667</v>
      </c>
      <c r="U23" s="136">
        <v>4.36786995559475</v>
      </c>
      <c r="V23" s="164">
        <v>2</v>
      </c>
      <c r="W23" s="73"/>
      <c r="X23" s="335"/>
    </row>
    <row r="24" spans="1:24" ht="15" customHeight="1">
      <c r="A24" s="325" t="s">
        <v>51</v>
      </c>
      <c r="B24" s="310"/>
      <c r="C24" s="338" t="s">
        <v>96</v>
      </c>
      <c r="D24" s="143" t="s">
        <v>117</v>
      </c>
      <c r="E24" s="118">
        <v>97</v>
      </c>
      <c r="F24" s="118">
        <v>155</v>
      </c>
      <c r="G24" s="118">
        <v>7.5</v>
      </c>
      <c r="H24" s="118">
        <v>28.2</v>
      </c>
      <c r="I24" s="118">
        <v>276</v>
      </c>
      <c r="J24" s="118">
        <v>17.1</v>
      </c>
      <c r="K24" s="118">
        <v>60.6</v>
      </c>
      <c r="L24" s="118">
        <v>159</v>
      </c>
      <c r="M24" s="118">
        <v>144</v>
      </c>
      <c r="N24" s="118">
        <v>90.6</v>
      </c>
      <c r="O24" s="118">
        <v>27.8</v>
      </c>
      <c r="P24" s="131">
        <v>166.3</v>
      </c>
      <c r="Q24" s="131">
        <v>158.4</v>
      </c>
      <c r="R24" s="131">
        <v>162.4</v>
      </c>
      <c r="S24" s="118">
        <v>649.4</v>
      </c>
      <c r="T24" s="131">
        <v>5.32</v>
      </c>
      <c r="U24" s="143">
        <v>1</v>
      </c>
      <c r="V24" s="164"/>
      <c r="W24" s="73"/>
      <c r="X24" s="335"/>
    </row>
    <row r="25" spans="1:24" ht="15" customHeight="1">
      <c r="A25" s="310"/>
      <c r="B25" s="310"/>
      <c r="C25" s="332"/>
      <c r="D25" s="143" t="s">
        <v>118</v>
      </c>
      <c r="E25" s="118">
        <v>101.2</v>
      </c>
      <c r="F25" s="118">
        <v>162</v>
      </c>
      <c r="G25" s="118">
        <v>8.76</v>
      </c>
      <c r="H25" s="118">
        <v>44.32</v>
      </c>
      <c r="I25" s="118">
        <v>505.9</v>
      </c>
      <c r="J25" s="118">
        <v>22.14</v>
      </c>
      <c r="K25" s="118">
        <v>49.96</v>
      </c>
      <c r="L25" s="118">
        <v>146.9</v>
      </c>
      <c r="M25" s="118">
        <v>135.3</v>
      </c>
      <c r="N25" s="118">
        <v>92.13</v>
      </c>
      <c r="O25" s="118">
        <v>29.58</v>
      </c>
      <c r="P25" s="131">
        <v>369.64</v>
      </c>
      <c r="Q25" s="131">
        <v>349.36</v>
      </c>
      <c r="R25" s="131">
        <v>359.5</v>
      </c>
      <c r="S25" s="118">
        <v>719</v>
      </c>
      <c r="T25" s="131">
        <v>10.19</v>
      </c>
      <c r="U25" s="143">
        <v>1</v>
      </c>
      <c r="V25" s="164"/>
      <c r="W25" s="73"/>
      <c r="X25" s="335"/>
    </row>
    <row r="26" spans="1:24" ht="15" customHeight="1">
      <c r="A26" s="310"/>
      <c r="B26" s="310"/>
      <c r="C26" s="332"/>
      <c r="D26" s="143" t="s">
        <v>119</v>
      </c>
      <c r="E26" s="118">
        <v>101.5</v>
      </c>
      <c r="F26" s="118">
        <v>157</v>
      </c>
      <c r="G26" s="118">
        <v>9.234</v>
      </c>
      <c r="H26" s="118">
        <v>33.52</v>
      </c>
      <c r="I26" s="118">
        <v>263</v>
      </c>
      <c r="J26" s="118">
        <v>20.87</v>
      </c>
      <c r="K26" s="118">
        <v>62.3</v>
      </c>
      <c r="L26" s="118">
        <v>148.7</v>
      </c>
      <c r="M26" s="118">
        <v>143</v>
      </c>
      <c r="N26" s="118">
        <v>96.2</v>
      </c>
      <c r="O26" s="118">
        <v>26.1</v>
      </c>
      <c r="P26" s="131">
        <v>385.2</v>
      </c>
      <c r="Q26" s="131">
        <v>373.5</v>
      </c>
      <c r="R26" s="131">
        <v>379.35</v>
      </c>
      <c r="S26" s="118">
        <v>758.7</v>
      </c>
      <c r="T26" s="131">
        <v>12.4</v>
      </c>
      <c r="U26" s="143">
        <v>1</v>
      </c>
      <c r="V26" s="164"/>
      <c r="W26" s="73"/>
      <c r="X26" s="335"/>
    </row>
    <row r="27" spans="1:24" ht="15" customHeight="1">
      <c r="A27" s="310"/>
      <c r="B27" s="310"/>
      <c r="C27" s="332"/>
      <c r="D27" s="143" t="s">
        <v>120</v>
      </c>
      <c r="E27" s="118">
        <v>84</v>
      </c>
      <c r="F27" s="118">
        <v>157</v>
      </c>
      <c r="G27" s="118">
        <v>9.82</v>
      </c>
      <c r="H27" s="118">
        <v>30.36</v>
      </c>
      <c r="I27" s="118">
        <v>309.16</v>
      </c>
      <c r="J27" s="118">
        <v>22.67</v>
      </c>
      <c r="K27" s="118">
        <v>74.67</v>
      </c>
      <c r="L27" s="118">
        <v>124.8</v>
      </c>
      <c r="M27" s="118">
        <v>117.5</v>
      </c>
      <c r="N27" s="118">
        <v>94.15</v>
      </c>
      <c r="O27" s="118">
        <v>25.8</v>
      </c>
      <c r="P27" s="131">
        <v>245.85</v>
      </c>
      <c r="Q27" s="131">
        <v>257.6</v>
      </c>
      <c r="R27" s="131">
        <v>251.725</v>
      </c>
      <c r="S27" s="118">
        <v>699.24</v>
      </c>
      <c r="T27" s="131">
        <v>3.27</v>
      </c>
      <c r="U27" s="143">
        <v>1</v>
      </c>
      <c r="V27" s="164"/>
      <c r="W27" s="73"/>
      <c r="X27" s="335"/>
    </row>
    <row r="28" spans="1:24" ht="15" customHeight="1">
      <c r="A28" s="310"/>
      <c r="B28" s="310"/>
      <c r="C28" s="332"/>
      <c r="D28" s="143" t="s">
        <v>121</v>
      </c>
      <c r="E28" s="118">
        <v>102.3</v>
      </c>
      <c r="F28" s="118">
        <v>159</v>
      </c>
      <c r="G28" s="118">
        <v>5.3</v>
      </c>
      <c r="H28" s="118">
        <v>30.9</v>
      </c>
      <c r="I28" s="118">
        <v>483</v>
      </c>
      <c r="J28" s="118">
        <v>19.1</v>
      </c>
      <c r="K28" s="118">
        <v>61.8</v>
      </c>
      <c r="L28" s="118">
        <v>146.5</v>
      </c>
      <c r="M28" s="118">
        <v>144.3</v>
      </c>
      <c r="N28" s="118">
        <v>98.5</v>
      </c>
      <c r="O28" s="118">
        <v>28.8</v>
      </c>
      <c r="P28" s="131">
        <v>209.4</v>
      </c>
      <c r="Q28" s="131">
        <v>199.6</v>
      </c>
      <c r="R28" s="131">
        <v>204.5</v>
      </c>
      <c r="S28" s="118">
        <v>757.5</v>
      </c>
      <c r="T28" s="131">
        <v>4.23</v>
      </c>
      <c r="U28" s="143">
        <v>1</v>
      </c>
      <c r="V28" s="164"/>
      <c r="W28" s="73"/>
      <c r="X28" s="335"/>
    </row>
    <row r="29" spans="1:24" ht="15" customHeight="1">
      <c r="A29" s="310"/>
      <c r="B29" s="310"/>
      <c r="C29" s="332"/>
      <c r="D29" s="143" t="s">
        <v>122</v>
      </c>
      <c r="E29" s="118">
        <v>101.4</v>
      </c>
      <c r="F29" s="118">
        <v>143</v>
      </c>
      <c r="G29" s="118">
        <v>8.1</v>
      </c>
      <c r="H29" s="118">
        <v>36</v>
      </c>
      <c r="I29" s="118">
        <v>345.3</v>
      </c>
      <c r="J29" s="118">
        <v>22.5</v>
      </c>
      <c r="K29" s="118">
        <v>62.6</v>
      </c>
      <c r="L29" s="118">
        <v>183.2</v>
      </c>
      <c r="M29" s="118">
        <v>168.2</v>
      </c>
      <c r="N29" s="118">
        <v>91.8</v>
      </c>
      <c r="O29" s="118">
        <v>25.9</v>
      </c>
      <c r="P29" s="131">
        <v>187.7</v>
      </c>
      <c r="Q29" s="131">
        <v>180.3</v>
      </c>
      <c r="R29" s="131">
        <v>184</v>
      </c>
      <c r="S29" s="118">
        <v>681.9</v>
      </c>
      <c r="T29" s="131">
        <v>10.54</v>
      </c>
      <c r="U29" s="143">
        <v>1</v>
      </c>
      <c r="V29" s="164"/>
      <c r="W29" s="73"/>
      <c r="X29" s="335"/>
    </row>
    <row r="30" spans="1:24" ht="15" customHeight="1">
      <c r="A30" s="310"/>
      <c r="B30" s="310"/>
      <c r="C30" s="332"/>
      <c r="D30" s="143" t="s">
        <v>123</v>
      </c>
      <c r="E30" s="118">
        <v>97</v>
      </c>
      <c r="F30" s="118">
        <v>159</v>
      </c>
      <c r="G30" s="118">
        <v>9.88</v>
      </c>
      <c r="H30" s="118">
        <v>27.61</v>
      </c>
      <c r="I30" s="118">
        <v>279.45</v>
      </c>
      <c r="J30" s="118">
        <v>20.64</v>
      </c>
      <c r="K30" s="118">
        <v>74.76</v>
      </c>
      <c r="L30" s="118">
        <v>129.11</v>
      </c>
      <c r="M30" s="118">
        <v>122.01</v>
      </c>
      <c r="N30" s="118">
        <v>94.5</v>
      </c>
      <c r="O30" s="118">
        <v>26.02</v>
      </c>
      <c r="P30" s="131">
        <v>242.53</v>
      </c>
      <c r="Q30" s="131">
        <v>236.43</v>
      </c>
      <c r="R30" s="131">
        <v>239.48</v>
      </c>
      <c r="S30" s="118">
        <v>643.77</v>
      </c>
      <c r="T30" s="131">
        <v>4.09</v>
      </c>
      <c r="U30" s="143">
        <v>1</v>
      </c>
      <c r="V30" s="164"/>
      <c r="W30" s="73"/>
      <c r="X30" s="335"/>
    </row>
    <row r="31" spans="1:24" ht="15" customHeight="1">
      <c r="A31" s="310"/>
      <c r="B31" s="310"/>
      <c r="C31" s="332"/>
      <c r="D31" s="143" t="s">
        <v>124</v>
      </c>
      <c r="E31" s="118">
        <v>90.8</v>
      </c>
      <c r="F31" s="118">
        <v>151</v>
      </c>
      <c r="G31" s="118">
        <v>5.9</v>
      </c>
      <c r="H31" s="118">
        <v>27.5</v>
      </c>
      <c r="I31" s="118">
        <v>366</v>
      </c>
      <c r="J31" s="118">
        <v>23.2</v>
      </c>
      <c r="K31" s="118">
        <v>84</v>
      </c>
      <c r="L31" s="118">
        <v>148</v>
      </c>
      <c r="M31" s="118">
        <v>140.6</v>
      </c>
      <c r="N31" s="118">
        <v>95</v>
      </c>
      <c r="O31" s="118">
        <v>29</v>
      </c>
      <c r="P31" s="131">
        <v>160</v>
      </c>
      <c r="Q31" s="131">
        <v>152.7</v>
      </c>
      <c r="R31" s="131">
        <v>156.3</v>
      </c>
      <c r="S31" s="118">
        <v>651.4</v>
      </c>
      <c r="T31" s="131">
        <v>7.37</v>
      </c>
      <c r="U31" s="143">
        <v>1</v>
      </c>
      <c r="V31" s="164"/>
      <c r="W31" s="73"/>
      <c r="X31" s="335"/>
    </row>
    <row r="32" spans="1:24" ht="13.5">
      <c r="A32" s="310"/>
      <c r="B32" s="310"/>
      <c r="C32" s="332"/>
      <c r="D32" s="144" t="s">
        <v>125</v>
      </c>
      <c r="E32" s="120">
        <f aca="true" t="shared" si="8" ref="E32:S32">AVERAGE(E24:E31)</f>
        <v>96.9</v>
      </c>
      <c r="F32" s="120">
        <f t="shared" si="8"/>
        <v>155.375</v>
      </c>
      <c r="G32" s="120">
        <f t="shared" si="8"/>
        <v>8.06175</v>
      </c>
      <c r="H32" s="120">
        <f t="shared" si="8"/>
        <v>32.30125</v>
      </c>
      <c r="I32" s="120">
        <f t="shared" si="8"/>
        <v>353.47625</v>
      </c>
      <c r="J32" s="120">
        <f t="shared" si="8"/>
        <v>21.0275</v>
      </c>
      <c r="K32" s="120">
        <f t="shared" si="8"/>
        <v>66.33625</v>
      </c>
      <c r="L32" s="120">
        <f t="shared" si="8"/>
        <v>148.27625</v>
      </c>
      <c r="M32" s="120">
        <f t="shared" si="8"/>
        <v>139.36375</v>
      </c>
      <c r="N32" s="120">
        <f t="shared" si="8"/>
        <v>94.11</v>
      </c>
      <c r="O32" s="120">
        <f t="shared" si="8"/>
        <v>27.375</v>
      </c>
      <c r="P32" s="132">
        <f t="shared" si="8"/>
        <v>245.8275</v>
      </c>
      <c r="Q32" s="132">
        <f t="shared" si="8"/>
        <v>238.48625</v>
      </c>
      <c r="R32" s="132">
        <f t="shared" si="8"/>
        <v>242.156875</v>
      </c>
      <c r="S32" s="120">
        <f t="shared" si="8"/>
        <v>695.11375</v>
      </c>
      <c r="T32" s="132">
        <v>7.14</v>
      </c>
      <c r="U32" s="144">
        <v>1</v>
      </c>
      <c r="V32" s="51"/>
      <c r="W32" s="73"/>
      <c r="X32" s="335"/>
    </row>
    <row r="33" spans="1:24" ht="13.5">
      <c r="A33" s="325" t="s">
        <v>34</v>
      </c>
      <c r="B33" s="325" t="s">
        <v>126</v>
      </c>
      <c r="C33" s="326" t="s">
        <v>127</v>
      </c>
      <c r="D33" s="54" t="s">
        <v>98</v>
      </c>
      <c r="E33" s="58">
        <v>90.4</v>
      </c>
      <c r="F33" s="58">
        <v>154</v>
      </c>
      <c r="G33" s="58">
        <v>5.7</v>
      </c>
      <c r="H33" s="58">
        <v>27.6</v>
      </c>
      <c r="I33" s="58">
        <v>384.21</v>
      </c>
      <c r="J33" s="58">
        <v>21.85</v>
      </c>
      <c r="K33" s="58">
        <v>79.17</v>
      </c>
      <c r="L33" s="58">
        <v>126.77</v>
      </c>
      <c r="M33" s="58">
        <v>115.14</v>
      </c>
      <c r="N33" s="58">
        <v>90.83</v>
      </c>
      <c r="O33" s="58">
        <v>27.89</v>
      </c>
      <c r="P33" s="66">
        <v>11.95</v>
      </c>
      <c r="Q33" s="66">
        <v>12.28</v>
      </c>
      <c r="R33" s="66">
        <v>12.37</v>
      </c>
      <c r="S33" s="66">
        <v>12.2</v>
      </c>
      <c r="T33" s="58">
        <v>610</v>
      </c>
      <c r="U33" s="34">
        <f>100*(T33-563.5)/563.5</f>
        <v>8.25199645075421</v>
      </c>
      <c r="V33" s="34">
        <f>100*(T33-531.5)/531.5</f>
        <v>14.7695202257761</v>
      </c>
      <c r="W33" s="18">
        <v>4</v>
      </c>
      <c r="X33" s="335"/>
    </row>
    <row r="34" spans="1:24" ht="13.5">
      <c r="A34" s="310"/>
      <c r="B34" s="310"/>
      <c r="C34" s="327"/>
      <c r="D34" s="54" t="s">
        <v>100</v>
      </c>
      <c r="E34" s="58">
        <v>99</v>
      </c>
      <c r="F34" s="58">
        <v>149</v>
      </c>
      <c r="G34" s="58">
        <v>7.5</v>
      </c>
      <c r="H34" s="58">
        <v>29.6</v>
      </c>
      <c r="I34" s="58">
        <v>295</v>
      </c>
      <c r="J34" s="58">
        <v>19.3</v>
      </c>
      <c r="K34" s="58">
        <v>65.2</v>
      </c>
      <c r="L34" s="58">
        <v>129</v>
      </c>
      <c r="M34" s="58">
        <v>119</v>
      </c>
      <c r="N34" s="58">
        <v>92.2</v>
      </c>
      <c r="O34" s="58">
        <v>27.9</v>
      </c>
      <c r="P34" s="66">
        <v>12.94</v>
      </c>
      <c r="Q34" s="66">
        <v>12.87</v>
      </c>
      <c r="R34" s="66">
        <v>12.53</v>
      </c>
      <c r="S34" s="66">
        <v>12.78</v>
      </c>
      <c r="T34" s="58">
        <v>639</v>
      </c>
      <c r="U34" s="34">
        <f>100*(T34-592.5)/592.5</f>
        <v>7.84810126582278</v>
      </c>
      <c r="V34" s="34">
        <f>100*(T34-601.5)/601.5</f>
        <v>6.23441396508728</v>
      </c>
      <c r="W34" s="18">
        <v>8</v>
      </c>
      <c r="X34" s="335"/>
    </row>
    <row r="35" spans="1:24" ht="13.5">
      <c r="A35" s="310"/>
      <c r="B35" s="310"/>
      <c r="C35" s="327"/>
      <c r="D35" s="54" t="s">
        <v>101</v>
      </c>
      <c r="E35" s="58">
        <v>92</v>
      </c>
      <c r="F35" s="58">
        <v>154</v>
      </c>
      <c r="G35" s="58">
        <v>5.4</v>
      </c>
      <c r="H35" s="58">
        <v>31.2</v>
      </c>
      <c r="I35" s="58">
        <v>477.8</v>
      </c>
      <c r="J35" s="58">
        <v>22.6</v>
      </c>
      <c r="K35" s="58">
        <v>72.4</v>
      </c>
      <c r="L35" s="58">
        <v>142.5</v>
      </c>
      <c r="M35" s="58">
        <v>136.9</v>
      </c>
      <c r="N35" s="58">
        <v>96.1</v>
      </c>
      <c r="O35" s="58">
        <v>27.42</v>
      </c>
      <c r="P35" s="66">
        <v>14.08</v>
      </c>
      <c r="Q35" s="66">
        <v>13.98</v>
      </c>
      <c r="R35" s="66">
        <v>14.24</v>
      </c>
      <c r="S35" s="66">
        <v>14.1</v>
      </c>
      <c r="T35" s="58">
        <v>705</v>
      </c>
      <c r="U35" s="34">
        <f>100*(T35-686.8)/686.8</f>
        <v>2.64997087944089</v>
      </c>
      <c r="V35" s="34">
        <f>100*(T35-660.8)/660.8</f>
        <v>6.68886198547216</v>
      </c>
      <c r="W35" s="18">
        <v>5</v>
      </c>
      <c r="X35" s="335"/>
    </row>
    <row r="36" spans="1:24" ht="13.5">
      <c r="A36" s="310"/>
      <c r="B36" s="310"/>
      <c r="C36" s="327"/>
      <c r="D36" s="54" t="s">
        <v>102</v>
      </c>
      <c r="E36" s="58">
        <v>95.8</v>
      </c>
      <c r="F36" s="58">
        <v>158</v>
      </c>
      <c r="G36" s="58">
        <v>8.27</v>
      </c>
      <c r="H36" s="58">
        <v>33.07</v>
      </c>
      <c r="I36" s="58">
        <v>300</v>
      </c>
      <c r="J36" s="58">
        <v>23.94</v>
      </c>
      <c r="K36" s="58">
        <v>72.39</v>
      </c>
      <c r="L36" s="58">
        <v>108.63</v>
      </c>
      <c r="M36" s="58">
        <v>104.75</v>
      </c>
      <c r="N36" s="58">
        <v>96.43</v>
      </c>
      <c r="O36" s="58">
        <v>28</v>
      </c>
      <c r="P36" s="66">
        <v>14.01</v>
      </c>
      <c r="Q36" s="66">
        <v>13.96</v>
      </c>
      <c r="R36" s="66">
        <v>14.1</v>
      </c>
      <c r="S36" s="66">
        <v>14.023</v>
      </c>
      <c r="T36" s="58">
        <v>701.15</v>
      </c>
      <c r="U36" s="34">
        <f>100*(T36-667.65)/667.65</f>
        <v>5.01759904141391</v>
      </c>
      <c r="V36" s="34">
        <f>100*(T36-637.5)/637.5</f>
        <v>9.98431372549019</v>
      </c>
      <c r="W36" s="18">
        <v>8</v>
      </c>
      <c r="X36" s="335"/>
    </row>
    <row r="37" spans="1:24" ht="13.5">
      <c r="A37" s="310"/>
      <c r="B37" s="310"/>
      <c r="C37" s="327"/>
      <c r="D37" s="54" t="s">
        <v>103</v>
      </c>
      <c r="E37" s="58">
        <v>80</v>
      </c>
      <c r="F37" s="58">
        <v>147</v>
      </c>
      <c r="G37" s="58">
        <v>11.22</v>
      </c>
      <c r="H37" s="58">
        <v>35.47</v>
      </c>
      <c r="I37" s="58">
        <v>3.16</v>
      </c>
      <c r="J37" s="58">
        <v>25.86</v>
      </c>
      <c r="K37" s="58">
        <v>72.91</v>
      </c>
      <c r="L37" s="58">
        <v>118.11</v>
      </c>
      <c r="M37" s="58">
        <v>109.18</v>
      </c>
      <c r="N37" s="58">
        <v>92.44</v>
      </c>
      <c r="O37" s="58">
        <v>26.2</v>
      </c>
      <c r="P37" s="66">
        <v>14.65</v>
      </c>
      <c r="Q37" s="66">
        <v>14.1</v>
      </c>
      <c r="R37" s="66">
        <v>14.3</v>
      </c>
      <c r="S37" s="66">
        <v>14.35</v>
      </c>
      <c r="T37" s="58">
        <v>717.5</v>
      </c>
      <c r="U37" s="34">
        <f>100*(T37-665)/665</f>
        <v>7.89473684210526</v>
      </c>
      <c r="V37" s="34">
        <f>100*(T37-693.33)/693.33</f>
        <v>3.48607445228101</v>
      </c>
      <c r="W37" s="18">
        <v>5</v>
      </c>
      <c r="X37" s="335"/>
    </row>
    <row r="38" spans="1:24" ht="13.5">
      <c r="A38" s="310"/>
      <c r="B38" s="310"/>
      <c r="C38" s="327"/>
      <c r="D38" s="54" t="s">
        <v>104</v>
      </c>
      <c r="E38" s="58">
        <v>101</v>
      </c>
      <c r="F38" s="58">
        <v>149</v>
      </c>
      <c r="G38" s="58">
        <v>8.6</v>
      </c>
      <c r="H38" s="58">
        <v>32.4</v>
      </c>
      <c r="I38" s="58">
        <v>276.74</v>
      </c>
      <c r="J38" s="58">
        <v>20.6</v>
      </c>
      <c r="K38" s="58">
        <v>63.58</v>
      </c>
      <c r="L38" s="58">
        <v>132.7</v>
      </c>
      <c r="M38" s="58">
        <v>128.2</v>
      </c>
      <c r="N38" s="58">
        <v>96.61</v>
      </c>
      <c r="O38" s="58">
        <v>26.46</v>
      </c>
      <c r="P38" s="66">
        <v>13.5</v>
      </c>
      <c r="Q38" s="66">
        <v>13.96</v>
      </c>
      <c r="R38" s="66">
        <v>13.67</v>
      </c>
      <c r="S38" s="66">
        <v>13.71</v>
      </c>
      <c r="T38" s="58">
        <v>685.5</v>
      </c>
      <c r="U38" s="34">
        <f>100*(T38-640)/640</f>
        <v>7.109375</v>
      </c>
      <c r="V38" s="34">
        <f>100*(T38-658.5)/658.5</f>
        <v>4.1002277904328</v>
      </c>
      <c r="W38" s="18">
        <v>8</v>
      </c>
      <c r="X38" s="335"/>
    </row>
    <row r="39" spans="1:24" ht="13.5">
      <c r="A39" s="310"/>
      <c r="B39" s="310"/>
      <c r="C39" s="327"/>
      <c r="D39" s="54" t="s">
        <v>105</v>
      </c>
      <c r="E39" s="58">
        <v>97</v>
      </c>
      <c r="F39" s="58">
        <v>155</v>
      </c>
      <c r="G39" s="58">
        <v>8.47</v>
      </c>
      <c r="H39" s="58">
        <v>32.6</v>
      </c>
      <c r="I39" s="58">
        <v>284.9</v>
      </c>
      <c r="J39" s="58">
        <v>20.93</v>
      </c>
      <c r="K39" s="58">
        <v>64.2</v>
      </c>
      <c r="L39" s="58">
        <v>98.9</v>
      </c>
      <c r="M39" s="58">
        <v>96.2</v>
      </c>
      <c r="N39" s="58">
        <v>97.3</v>
      </c>
      <c r="O39" s="58">
        <v>27.1</v>
      </c>
      <c r="P39" s="66">
        <v>12.86</v>
      </c>
      <c r="Q39" s="66">
        <v>13.41</v>
      </c>
      <c r="R39" s="66">
        <v>13.27</v>
      </c>
      <c r="S39" s="66">
        <v>13.18</v>
      </c>
      <c r="T39" s="58">
        <v>659</v>
      </c>
      <c r="U39" s="34">
        <f>100*(T39-578)/578</f>
        <v>14.0138408304498</v>
      </c>
      <c r="V39" s="34">
        <f>100*(T39-605.5)/605.5</f>
        <v>8.83567299752271</v>
      </c>
      <c r="W39" s="18">
        <v>4</v>
      </c>
      <c r="X39" s="335"/>
    </row>
    <row r="40" spans="1:24" ht="13.5">
      <c r="A40" s="310"/>
      <c r="B40" s="310"/>
      <c r="C40" s="327"/>
      <c r="D40" s="54" t="s">
        <v>106</v>
      </c>
      <c r="E40" s="58">
        <v>91</v>
      </c>
      <c r="F40" s="58">
        <v>147</v>
      </c>
      <c r="G40" s="58">
        <v>6</v>
      </c>
      <c r="H40" s="58">
        <v>29.45</v>
      </c>
      <c r="I40" s="58">
        <v>390.83</v>
      </c>
      <c r="J40" s="58">
        <v>23.25</v>
      </c>
      <c r="K40" s="58">
        <v>78.95</v>
      </c>
      <c r="L40" s="58">
        <v>113.3</v>
      </c>
      <c r="M40" s="58">
        <v>104.21</v>
      </c>
      <c r="N40" s="58">
        <v>91.98</v>
      </c>
      <c r="O40" s="58">
        <v>26.84</v>
      </c>
      <c r="P40" s="66">
        <v>12.45</v>
      </c>
      <c r="Q40" s="66">
        <v>11.99</v>
      </c>
      <c r="R40" s="66">
        <v>12.71</v>
      </c>
      <c r="S40" s="66">
        <v>12.38</v>
      </c>
      <c r="T40" s="58">
        <v>619.17</v>
      </c>
      <c r="U40" s="34">
        <f>100*(T40-655.17)/655.17</f>
        <v>-5.49475708594716</v>
      </c>
      <c r="V40" s="34">
        <f>100*(T40-540.67)/540.67</f>
        <v>14.5190226940648</v>
      </c>
      <c r="W40" s="18">
        <v>8</v>
      </c>
      <c r="X40" s="335"/>
    </row>
    <row r="41" spans="1:24" ht="13.5">
      <c r="A41" s="310"/>
      <c r="B41" s="310"/>
      <c r="C41" s="327"/>
      <c r="D41" s="54" t="s">
        <v>107</v>
      </c>
      <c r="E41" s="58">
        <v>96.7</v>
      </c>
      <c r="F41" s="58">
        <v>150</v>
      </c>
      <c r="G41" s="58">
        <v>11.4</v>
      </c>
      <c r="H41" s="58">
        <v>29.65</v>
      </c>
      <c r="I41" s="58">
        <v>2.6</v>
      </c>
      <c r="J41" s="58">
        <v>19.2</v>
      </c>
      <c r="K41" s="58">
        <v>64.76</v>
      </c>
      <c r="L41" s="58">
        <v>128</v>
      </c>
      <c r="M41" s="58">
        <v>119.1</v>
      </c>
      <c r="N41" s="58">
        <v>93.05</v>
      </c>
      <c r="O41" s="58">
        <v>28.68</v>
      </c>
      <c r="P41" s="66">
        <v>12.89</v>
      </c>
      <c r="Q41" s="66">
        <v>12.43</v>
      </c>
      <c r="R41" s="66">
        <v>12.33</v>
      </c>
      <c r="S41" s="66">
        <v>12.55</v>
      </c>
      <c r="T41" s="58">
        <v>627.5</v>
      </c>
      <c r="U41" s="34">
        <f>100*(T41-586)/586</f>
        <v>7.08191126279864</v>
      </c>
      <c r="V41" s="34">
        <f>100*(T41-612.5)/612.5</f>
        <v>2.44897959183673</v>
      </c>
      <c r="W41" s="18">
        <v>8</v>
      </c>
      <c r="X41" s="335"/>
    </row>
    <row r="42" spans="1:24" ht="13.5">
      <c r="A42" s="310"/>
      <c r="B42" s="310"/>
      <c r="C42" s="327"/>
      <c r="D42" s="29" t="s">
        <v>30</v>
      </c>
      <c r="E42" s="60">
        <f aca="true" t="shared" si="9" ref="E42:T42">AVERAGE(E33:E41)</f>
        <v>93.6555555555556</v>
      </c>
      <c r="F42" s="60">
        <f t="shared" si="9"/>
        <v>151.444444444444</v>
      </c>
      <c r="G42" s="60">
        <f t="shared" si="9"/>
        <v>8.06222222222222</v>
      </c>
      <c r="H42" s="60">
        <f t="shared" si="9"/>
        <v>31.2266666666667</v>
      </c>
      <c r="I42" s="60">
        <f t="shared" si="9"/>
        <v>268.36</v>
      </c>
      <c r="J42" s="60">
        <f t="shared" si="9"/>
        <v>21.9477777777778</v>
      </c>
      <c r="K42" s="60">
        <f t="shared" si="9"/>
        <v>70.3955555555556</v>
      </c>
      <c r="L42" s="60">
        <f t="shared" si="9"/>
        <v>121.99</v>
      </c>
      <c r="M42" s="60">
        <f t="shared" si="9"/>
        <v>114.742222222222</v>
      </c>
      <c r="N42" s="60">
        <f t="shared" si="9"/>
        <v>94.1044444444444</v>
      </c>
      <c r="O42" s="60">
        <f t="shared" si="9"/>
        <v>27.3877777777778</v>
      </c>
      <c r="P42" s="68">
        <f t="shared" si="9"/>
        <v>13.2588888888889</v>
      </c>
      <c r="Q42" s="68">
        <f t="shared" si="9"/>
        <v>13.22</v>
      </c>
      <c r="R42" s="68">
        <f t="shared" si="9"/>
        <v>13.28</v>
      </c>
      <c r="S42" s="68">
        <f t="shared" si="9"/>
        <v>13.2525555555556</v>
      </c>
      <c r="T42" s="60">
        <f t="shared" si="9"/>
        <v>662.646666666667</v>
      </c>
      <c r="U42" s="51">
        <v>5.84226470948402</v>
      </c>
      <c r="V42" s="51">
        <v>7.61443852583257</v>
      </c>
      <c r="W42" s="73">
        <v>5</v>
      </c>
      <c r="X42" s="335"/>
    </row>
    <row r="43" spans="1:24" ht="15">
      <c r="A43" s="325" t="s">
        <v>47</v>
      </c>
      <c r="B43" s="310"/>
      <c r="C43" s="328" t="s">
        <v>128</v>
      </c>
      <c r="D43" s="150" t="s">
        <v>109</v>
      </c>
      <c r="E43" s="102">
        <v>99.6</v>
      </c>
      <c r="F43" s="102">
        <v>156</v>
      </c>
      <c r="G43" s="133">
        <v>6.9</v>
      </c>
      <c r="H43" s="123">
        <v>31.2</v>
      </c>
      <c r="I43" s="123">
        <f aca="true" t="shared" si="10" ref="I43:I52">(H43-G43)/G43*100</f>
        <v>352.173913043478</v>
      </c>
      <c r="J43" s="123">
        <v>20.7</v>
      </c>
      <c r="K43" s="123">
        <f aca="true" t="shared" si="11" ref="K43:K52">J43/H43*100</f>
        <v>66.3461538461538</v>
      </c>
      <c r="L43" s="123">
        <v>115.2</v>
      </c>
      <c r="M43" s="123">
        <v>106.4</v>
      </c>
      <c r="N43" s="123">
        <f aca="true" t="shared" si="12" ref="N43:N53">M43/L43*100</f>
        <v>92.3611111111111</v>
      </c>
      <c r="O43" s="123">
        <v>28.12</v>
      </c>
      <c r="P43" s="106">
        <v>12.46</v>
      </c>
      <c r="Q43" s="106">
        <v>12.27</v>
      </c>
      <c r="R43" s="106">
        <v>12.17</v>
      </c>
      <c r="S43" s="133">
        <f aca="true" t="shared" si="13" ref="S43:S52">AVERAGE(P43:R43)</f>
        <v>12.3</v>
      </c>
      <c r="T43" s="123">
        <f aca="true" t="shared" si="14" ref="T43:T52">S43*50</f>
        <v>615</v>
      </c>
      <c r="U43" s="134">
        <v>8.22335025380712</v>
      </c>
      <c r="V43" s="163">
        <v>4</v>
      </c>
      <c r="X43" s="335"/>
    </row>
    <row r="44" spans="1:24" ht="15">
      <c r="A44" s="310"/>
      <c r="B44" s="310"/>
      <c r="C44" s="329"/>
      <c r="D44" s="150" t="s">
        <v>110</v>
      </c>
      <c r="E44" s="102">
        <v>101</v>
      </c>
      <c r="F44" s="102">
        <v>150</v>
      </c>
      <c r="G44" s="133">
        <v>7.1</v>
      </c>
      <c r="H44" s="123">
        <v>30.8</v>
      </c>
      <c r="I44" s="123">
        <f t="shared" si="10"/>
        <v>333.802816901409</v>
      </c>
      <c r="J44" s="123">
        <v>19.7</v>
      </c>
      <c r="K44" s="123">
        <f t="shared" si="11"/>
        <v>63.961038961039</v>
      </c>
      <c r="L44" s="123">
        <v>123</v>
      </c>
      <c r="M44" s="123">
        <v>113</v>
      </c>
      <c r="N44" s="123">
        <f t="shared" si="12"/>
        <v>91.869918699187</v>
      </c>
      <c r="O44" s="123">
        <v>25.4</v>
      </c>
      <c r="P44" s="106">
        <v>11.98</v>
      </c>
      <c r="Q44" s="106">
        <v>11.93</v>
      </c>
      <c r="R44" s="106">
        <v>11.35</v>
      </c>
      <c r="S44" s="133">
        <f t="shared" si="13"/>
        <v>11.7533333333333</v>
      </c>
      <c r="T44" s="123">
        <f t="shared" si="14"/>
        <v>587.666666666667</v>
      </c>
      <c r="U44" s="134">
        <v>0.218636582272944</v>
      </c>
      <c r="V44" s="163">
        <v>8</v>
      </c>
      <c r="X44" s="335"/>
    </row>
    <row r="45" spans="1:24" ht="15">
      <c r="A45" s="310"/>
      <c r="B45" s="310"/>
      <c r="C45" s="329"/>
      <c r="D45" s="150" t="s">
        <v>111</v>
      </c>
      <c r="E45" s="102">
        <v>96.6</v>
      </c>
      <c r="F45" s="102">
        <v>161</v>
      </c>
      <c r="G45" s="133">
        <v>8.5</v>
      </c>
      <c r="H45" s="123">
        <v>38.4</v>
      </c>
      <c r="I45" s="123">
        <f t="shared" si="10"/>
        <v>351.764705882353</v>
      </c>
      <c r="J45" s="123">
        <v>23.2</v>
      </c>
      <c r="K45" s="123">
        <f t="shared" si="11"/>
        <v>60.4166666666667</v>
      </c>
      <c r="L45" s="123">
        <v>124.9</v>
      </c>
      <c r="M45" s="123">
        <v>119.8</v>
      </c>
      <c r="N45" s="123">
        <f t="shared" si="12"/>
        <v>95.9167333867094</v>
      </c>
      <c r="O45" s="123">
        <v>26.65</v>
      </c>
      <c r="P45" s="106">
        <v>12.9</v>
      </c>
      <c r="Q45" s="106">
        <v>13.21</v>
      </c>
      <c r="R45" s="106">
        <v>12.66</v>
      </c>
      <c r="S45" s="133">
        <f t="shared" si="13"/>
        <v>12.9233333333333</v>
      </c>
      <c r="T45" s="123">
        <f t="shared" si="14"/>
        <v>646.166666666667</v>
      </c>
      <c r="U45" s="134">
        <v>-2.68950071436844</v>
      </c>
      <c r="V45" s="163">
        <v>11</v>
      </c>
      <c r="X45" s="335"/>
    </row>
    <row r="46" spans="1:24" ht="15">
      <c r="A46" s="310"/>
      <c r="B46" s="310"/>
      <c r="C46" s="329"/>
      <c r="D46" s="150" t="s">
        <v>112</v>
      </c>
      <c r="E46" s="102">
        <v>100</v>
      </c>
      <c r="F46" s="102">
        <v>164</v>
      </c>
      <c r="G46" s="133">
        <v>8.24</v>
      </c>
      <c r="H46" s="123">
        <v>35</v>
      </c>
      <c r="I46" s="123">
        <f t="shared" si="10"/>
        <v>324.757281553398</v>
      </c>
      <c r="J46" s="123">
        <v>25.9</v>
      </c>
      <c r="K46" s="123">
        <f t="shared" si="11"/>
        <v>74</v>
      </c>
      <c r="L46" s="123">
        <v>123.14</v>
      </c>
      <c r="M46" s="123">
        <v>112.56</v>
      </c>
      <c r="N46" s="123">
        <f t="shared" si="12"/>
        <v>91.4081533214228</v>
      </c>
      <c r="O46" s="123">
        <v>25.6</v>
      </c>
      <c r="P46" s="106">
        <v>14.7</v>
      </c>
      <c r="Q46" s="106">
        <v>14.65</v>
      </c>
      <c r="R46" s="106">
        <v>14.93</v>
      </c>
      <c r="S46" s="133">
        <f t="shared" si="13"/>
        <v>14.76</v>
      </c>
      <c r="T46" s="123">
        <f t="shared" si="14"/>
        <v>738</v>
      </c>
      <c r="U46" s="134">
        <v>-1.44163270896825</v>
      </c>
      <c r="V46" s="163">
        <v>10</v>
      </c>
      <c r="X46" s="335"/>
    </row>
    <row r="47" spans="1:24" ht="15">
      <c r="A47" s="310"/>
      <c r="B47" s="310"/>
      <c r="C47" s="329"/>
      <c r="D47" s="150" t="s">
        <v>39</v>
      </c>
      <c r="E47" s="102">
        <v>104</v>
      </c>
      <c r="F47" s="102">
        <v>161</v>
      </c>
      <c r="G47" s="133">
        <v>7.4</v>
      </c>
      <c r="H47" s="123">
        <v>37.6</v>
      </c>
      <c r="I47" s="123">
        <f t="shared" si="10"/>
        <v>408.108108108108</v>
      </c>
      <c r="J47" s="123">
        <v>24.2</v>
      </c>
      <c r="K47" s="123">
        <f t="shared" si="11"/>
        <v>64.3617021276596</v>
      </c>
      <c r="L47" s="123">
        <v>121.3</v>
      </c>
      <c r="M47" s="123">
        <v>114.7</v>
      </c>
      <c r="N47" s="123">
        <f t="shared" si="12"/>
        <v>94.5589447650454</v>
      </c>
      <c r="O47" s="123">
        <v>26.2</v>
      </c>
      <c r="P47" s="157">
        <v>13.05</v>
      </c>
      <c r="Q47" s="157">
        <v>12.35</v>
      </c>
      <c r="R47" s="157">
        <v>12.45</v>
      </c>
      <c r="S47" s="133">
        <f t="shared" si="13"/>
        <v>12.6166666666667</v>
      </c>
      <c r="T47" s="123">
        <f t="shared" si="14"/>
        <v>630.833333333333</v>
      </c>
      <c r="U47" s="134">
        <v>-0.585917769471648</v>
      </c>
      <c r="V47" s="163">
        <v>10</v>
      </c>
      <c r="X47" s="335"/>
    </row>
    <row r="48" spans="1:24" ht="15">
      <c r="A48" s="310"/>
      <c r="B48" s="310"/>
      <c r="C48" s="329"/>
      <c r="D48" s="151" t="s">
        <v>37</v>
      </c>
      <c r="E48" s="102">
        <v>119.5</v>
      </c>
      <c r="F48" s="102">
        <v>169</v>
      </c>
      <c r="G48" s="152">
        <v>7.13</v>
      </c>
      <c r="H48" s="123">
        <v>31.4</v>
      </c>
      <c r="I48" s="123">
        <f t="shared" si="10"/>
        <v>340.39270687237</v>
      </c>
      <c r="J48" s="123">
        <v>20</v>
      </c>
      <c r="K48" s="123">
        <f t="shared" si="11"/>
        <v>63.6942675159236</v>
      </c>
      <c r="L48" s="123">
        <v>129.2</v>
      </c>
      <c r="M48" s="123">
        <v>121.1</v>
      </c>
      <c r="N48" s="123">
        <f t="shared" si="12"/>
        <v>93.7306501547988</v>
      </c>
      <c r="O48" s="123">
        <v>25.6</v>
      </c>
      <c r="P48" s="106">
        <v>12.912</v>
      </c>
      <c r="Q48" s="106">
        <v>12.98</v>
      </c>
      <c r="R48" s="106">
        <v>12.84</v>
      </c>
      <c r="S48" s="133">
        <f t="shared" si="13"/>
        <v>12.9106666666667</v>
      </c>
      <c r="T48" s="123">
        <f t="shared" si="14"/>
        <v>645.533333333333</v>
      </c>
      <c r="U48" s="134">
        <v>5.17415325486428</v>
      </c>
      <c r="V48" s="163">
        <v>3</v>
      </c>
      <c r="X48" s="335"/>
    </row>
    <row r="49" spans="1:24" ht="15">
      <c r="A49" s="310"/>
      <c r="B49" s="310"/>
      <c r="C49" s="329"/>
      <c r="D49" s="150" t="s">
        <v>113</v>
      </c>
      <c r="E49" s="102">
        <v>101</v>
      </c>
      <c r="F49" s="102">
        <v>168</v>
      </c>
      <c r="G49" s="133">
        <v>8.8</v>
      </c>
      <c r="H49" s="123">
        <v>36.6</v>
      </c>
      <c r="I49" s="123">
        <f t="shared" si="10"/>
        <v>315.909090909091</v>
      </c>
      <c r="J49" s="123">
        <v>26.1</v>
      </c>
      <c r="K49" s="123">
        <f t="shared" si="11"/>
        <v>71.3114754098361</v>
      </c>
      <c r="L49" s="123">
        <v>103</v>
      </c>
      <c r="M49" s="123">
        <v>92</v>
      </c>
      <c r="N49" s="123">
        <f t="shared" si="12"/>
        <v>89.3203883495146</v>
      </c>
      <c r="O49" s="123">
        <v>26</v>
      </c>
      <c r="P49" s="106">
        <v>11.86</v>
      </c>
      <c r="Q49" s="106">
        <v>10.24</v>
      </c>
      <c r="R49" s="106">
        <v>11.72</v>
      </c>
      <c r="S49" s="133">
        <f t="shared" si="13"/>
        <v>11.2733333333333</v>
      </c>
      <c r="T49" s="123">
        <f t="shared" si="14"/>
        <v>563.666666666667</v>
      </c>
      <c r="U49" s="134">
        <v>-7.64415502573261</v>
      </c>
      <c r="V49" s="163">
        <v>13</v>
      </c>
      <c r="X49" s="335"/>
    </row>
    <row r="50" spans="1:24" ht="15">
      <c r="A50" s="310"/>
      <c r="B50" s="310"/>
      <c r="C50" s="329"/>
      <c r="D50" s="150" t="s">
        <v>114</v>
      </c>
      <c r="E50" s="102">
        <v>109.75</v>
      </c>
      <c r="F50" s="153">
        <v>157</v>
      </c>
      <c r="G50" s="152">
        <v>8.3</v>
      </c>
      <c r="H50" s="154">
        <v>37.2</v>
      </c>
      <c r="I50" s="123">
        <f t="shared" si="10"/>
        <v>348.192771084337</v>
      </c>
      <c r="J50" s="154">
        <v>20.96</v>
      </c>
      <c r="K50" s="123">
        <f t="shared" si="11"/>
        <v>56.3440860215054</v>
      </c>
      <c r="L50" s="154">
        <v>119</v>
      </c>
      <c r="M50" s="154">
        <v>107.5</v>
      </c>
      <c r="N50" s="123">
        <f t="shared" si="12"/>
        <v>90.3361344537815</v>
      </c>
      <c r="O50" s="123">
        <v>29.3</v>
      </c>
      <c r="P50" s="157">
        <v>12.31</v>
      </c>
      <c r="Q50" s="157">
        <v>11.17</v>
      </c>
      <c r="R50" s="157">
        <v>12.09</v>
      </c>
      <c r="S50" s="133">
        <f t="shared" si="13"/>
        <v>11.8566666666667</v>
      </c>
      <c r="T50" s="123">
        <f t="shared" si="14"/>
        <v>592.833333333333</v>
      </c>
      <c r="U50" s="134">
        <v>1.35235840785552</v>
      </c>
      <c r="V50" s="163">
        <v>7</v>
      </c>
      <c r="X50" s="335"/>
    </row>
    <row r="51" spans="1:24" ht="15">
      <c r="A51" s="310"/>
      <c r="B51" s="310"/>
      <c r="C51" s="329"/>
      <c r="D51" s="150" t="s">
        <v>115</v>
      </c>
      <c r="E51" s="102">
        <v>122</v>
      </c>
      <c r="F51" s="102">
        <v>152</v>
      </c>
      <c r="G51" s="133">
        <v>9.9</v>
      </c>
      <c r="H51" s="123">
        <v>43</v>
      </c>
      <c r="I51" s="123">
        <f t="shared" si="10"/>
        <v>334.343434343434</v>
      </c>
      <c r="J51" s="123">
        <v>28.46</v>
      </c>
      <c r="K51" s="123">
        <f t="shared" si="11"/>
        <v>66.1860465116279</v>
      </c>
      <c r="L51" s="123">
        <v>96.6</v>
      </c>
      <c r="M51" s="123">
        <v>94.2</v>
      </c>
      <c r="N51" s="123">
        <f t="shared" si="12"/>
        <v>97.5155279503106</v>
      </c>
      <c r="O51" s="123">
        <v>26.5</v>
      </c>
      <c r="P51" s="158">
        <v>13.8</v>
      </c>
      <c r="Q51" s="158">
        <v>13.6</v>
      </c>
      <c r="R51" s="158">
        <v>13.5</v>
      </c>
      <c r="S51" s="133">
        <f t="shared" si="13"/>
        <v>13.6333333333333</v>
      </c>
      <c r="T51" s="123">
        <f t="shared" si="14"/>
        <v>681.666666666667</v>
      </c>
      <c r="U51" s="134">
        <v>-1.04224827842922</v>
      </c>
      <c r="V51" s="163">
        <v>10</v>
      </c>
      <c r="X51" s="335"/>
    </row>
    <row r="52" spans="1:24" ht="15">
      <c r="A52" s="310"/>
      <c r="B52" s="310"/>
      <c r="C52" s="329"/>
      <c r="D52" s="150" t="s">
        <v>116</v>
      </c>
      <c r="E52" s="102">
        <v>96</v>
      </c>
      <c r="F52" s="102">
        <v>151</v>
      </c>
      <c r="G52" s="133">
        <v>7.9</v>
      </c>
      <c r="H52" s="123">
        <v>29.3</v>
      </c>
      <c r="I52" s="123">
        <f t="shared" si="10"/>
        <v>270.886075949367</v>
      </c>
      <c r="J52" s="123">
        <v>21.3</v>
      </c>
      <c r="K52" s="123">
        <f t="shared" si="11"/>
        <v>72.6962457337884</v>
      </c>
      <c r="L52" s="123">
        <v>128.1</v>
      </c>
      <c r="M52" s="123">
        <v>118.5</v>
      </c>
      <c r="N52" s="123">
        <f t="shared" si="12"/>
        <v>92.5058548009368</v>
      </c>
      <c r="O52" s="123">
        <v>26.4</v>
      </c>
      <c r="P52" s="106">
        <v>10.9</v>
      </c>
      <c r="Q52" s="106">
        <v>11.3</v>
      </c>
      <c r="R52" s="106">
        <v>11.3</v>
      </c>
      <c r="S52" s="133">
        <f t="shared" si="13"/>
        <v>11.1666666666667</v>
      </c>
      <c r="T52" s="123">
        <f t="shared" si="14"/>
        <v>558.333333333333</v>
      </c>
      <c r="U52" s="134">
        <v>3.8140643623361</v>
      </c>
      <c r="V52" s="163">
        <v>6</v>
      </c>
      <c r="X52" s="335"/>
    </row>
    <row r="53" spans="1:24" ht="14.25">
      <c r="A53" s="310"/>
      <c r="B53" s="310"/>
      <c r="C53" s="330"/>
      <c r="D53" s="155" t="s">
        <v>30</v>
      </c>
      <c r="E53" s="108">
        <f aca="true" t="shared" si="15" ref="E53:M53">AVERAGE(E43:E52)</f>
        <v>104.945</v>
      </c>
      <c r="F53" s="108">
        <f t="shared" si="15"/>
        <v>158.9</v>
      </c>
      <c r="G53" s="108">
        <f t="shared" si="15"/>
        <v>8.017</v>
      </c>
      <c r="H53" s="126">
        <f t="shared" si="15"/>
        <v>35.05</v>
      </c>
      <c r="I53" s="108">
        <f t="shared" si="15"/>
        <v>338.033090464735</v>
      </c>
      <c r="J53" s="108">
        <f t="shared" si="15"/>
        <v>23.052</v>
      </c>
      <c r="K53" s="108">
        <f t="shared" si="15"/>
        <v>65.93176827942</v>
      </c>
      <c r="L53" s="108">
        <f t="shared" si="15"/>
        <v>118.344</v>
      </c>
      <c r="M53" s="108">
        <f t="shared" si="15"/>
        <v>109.976</v>
      </c>
      <c r="N53" s="108">
        <f t="shared" si="12"/>
        <v>92.9290880822011</v>
      </c>
      <c r="O53" s="108">
        <f aca="true" t="shared" si="16" ref="O53:T53">AVERAGE(O43:O52)</f>
        <v>26.577</v>
      </c>
      <c r="P53" s="109">
        <f t="shared" si="16"/>
        <v>12.6872</v>
      </c>
      <c r="Q53" s="109">
        <f t="shared" si="16"/>
        <v>12.37</v>
      </c>
      <c r="R53" s="109">
        <f t="shared" si="16"/>
        <v>12.501</v>
      </c>
      <c r="S53" s="165">
        <f t="shared" si="16"/>
        <v>12.5194</v>
      </c>
      <c r="T53" s="126">
        <f t="shared" si="16"/>
        <v>625.97</v>
      </c>
      <c r="U53" s="165">
        <v>0.352508470500478</v>
      </c>
      <c r="V53" s="166">
        <v>7</v>
      </c>
      <c r="X53" s="335"/>
    </row>
    <row r="54" spans="1:24" ht="13.5">
      <c r="A54" s="325" t="s">
        <v>51</v>
      </c>
      <c r="B54" s="310"/>
      <c r="C54" s="331" t="s">
        <v>129</v>
      </c>
      <c r="D54" s="143" t="s">
        <v>117</v>
      </c>
      <c r="E54" s="118">
        <v>96</v>
      </c>
      <c r="F54" s="118">
        <v>151</v>
      </c>
      <c r="G54" s="118">
        <v>7.8</v>
      </c>
      <c r="H54" s="118">
        <v>29.1</v>
      </c>
      <c r="I54" s="118">
        <v>273</v>
      </c>
      <c r="J54" s="118">
        <v>19.5</v>
      </c>
      <c r="K54" s="118">
        <v>67</v>
      </c>
      <c r="L54" s="118">
        <v>134</v>
      </c>
      <c r="M54" s="118">
        <v>127</v>
      </c>
      <c r="N54" s="118">
        <v>94.8</v>
      </c>
      <c r="O54" s="118">
        <v>26.6</v>
      </c>
      <c r="P54" s="131">
        <v>157.8</v>
      </c>
      <c r="Q54" s="131">
        <v>163.1</v>
      </c>
      <c r="R54" s="131">
        <v>160.5</v>
      </c>
      <c r="S54" s="118">
        <v>641.8</v>
      </c>
      <c r="T54" s="131">
        <v>4.09</v>
      </c>
      <c r="U54" s="143">
        <v>2</v>
      </c>
      <c r="X54" s="335"/>
    </row>
    <row r="55" spans="1:24" ht="13.5">
      <c r="A55" s="310"/>
      <c r="B55" s="310"/>
      <c r="C55" s="332"/>
      <c r="D55" s="143" t="s">
        <v>118</v>
      </c>
      <c r="E55" s="118">
        <v>101.5</v>
      </c>
      <c r="F55" s="118">
        <v>158</v>
      </c>
      <c r="G55" s="118">
        <v>8.89</v>
      </c>
      <c r="H55" s="118">
        <v>37.6</v>
      </c>
      <c r="I55" s="118">
        <v>422.9</v>
      </c>
      <c r="J55" s="118">
        <v>23.39</v>
      </c>
      <c r="K55" s="118">
        <v>62.22</v>
      </c>
      <c r="L55" s="118">
        <v>112.6</v>
      </c>
      <c r="M55" s="118">
        <v>102.4</v>
      </c>
      <c r="N55" s="118">
        <v>90.98</v>
      </c>
      <c r="O55" s="118">
        <v>30.89</v>
      </c>
      <c r="P55" s="131">
        <v>329.64</v>
      </c>
      <c r="Q55" s="131">
        <v>347.9</v>
      </c>
      <c r="R55" s="131">
        <v>338.77</v>
      </c>
      <c r="S55" s="118">
        <v>677.54</v>
      </c>
      <c r="T55" s="131">
        <v>3.84</v>
      </c>
      <c r="U55" s="143">
        <v>2</v>
      </c>
      <c r="X55" s="335"/>
    </row>
    <row r="56" spans="1:24" ht="13.5">
      <c r="A56" s="310"/>
      <c r="B56" s="310"/>
      <c r="C56" s="332"/>
      <c r="D56" s="143" t="s">
        <v>119</v>
      </c>
      <c r="E56" s="118">
        <v>104</v>
      </c>
      <c r="F56" s="118">
        <v>154</v>
      </c>
      <c r="G56" s="118">
        <v>7.695</v>
      </c>
      <c r="H56" s="118">
        <v>28.39</v>
      </c>
      <c r="I56" s="118">
        <v>268.9</v>
      </c>
      <c r="J56" s="118">
        <v>21.98</v>
      </c>
      <c r="K56" s="118">
        <v>77.4</v>
      </c>
      <c r="L56" s="118">
        <v>118.2</v>
      </c>
      <c r="M56" s="118">
        <v>114.4</v>
      </c>
      <c r="N56" s="118">
        <v>96.8</v>
      </c>
      <c r="O56" s="118">
        <v>28.6</v>
      </c>
      <c r="P56" s="131">
        <v>356.2</v>
      </c>
      <c r="Q56" s="131">
        <v>374.9</v>
      </c>
      <c r="R56" s="131">
        <v>365.55</v>
      </c>
      <c r="S56" s="118">
        <v>731.1</v>
      </c>
      <c r="T56" s="131">
        <v>8.3</v>
      </c>
      <c r="U56" s="143">
        <v>2</v>
      </c>
      <c r="X56" s="335"/>
    </row>
    <row r="57" spans="1:24" ht="13.5">
      <c r="A57" s="310"/>
      <c r="B57" s="310"/>
      <c r="C57" s="332"/>
      <c r="D57" s="143" t="s">
        <v>120</v>
      </c>
      <c r="E57" s="118">
        <v>90</v>
      </c>
      <c r="F57" s="118">
        <v>154</v>
      </c>
      <c r="G57" s="118">
        <v>9.64</v>
      </c>
      <c r="H57" s="118">
        <v>29.45</v>
      </c>
      <c r="I57" s="118">
        <v>305.5</v>
      </c>
      <c r="J57" s="118">
        <v>20.24</v>
      </c>
      <c r="K57" s="118">
        <v>68.73</v>
      </c>
      <c r="L57" s="118">
        <v>132.6</v>
      </c>
      <c r="M57" s="118">
        <v>121.3</v>
      </c>
      <c r="N57" s="118">
        <v>91.48</v>
      </c>
      <c r="O57" s="118">
        <v>26.9</v>
      </c>
      <c r="P57" s="131">
        <v>242.9</v>
      </c>
      <c r="Q57" s="131">
        <v>248.75</v>
      </c>
      <c r="R57" s="131">
        <v>245.825</v>
      </c>
      <c r="S57" s="118">
        <v>682.85</v>
      </c>
      <c r="T57" s="131">
        <v>0.85</v>
      </c>
      <c r="U57" s="143">
        <v>2</v>
      </c>
      <c r="X57" s="335"/>
    </row>
    <row r="58" spans="1:24" ht="13.5">
      <c r="A58" s="310"/>
      <c r="B58" s="310"/>
      <c r="C58" s="332"/>
      <c r="D58" s="143" t="s">
        <v>121</v>
      </c>
      <c r="E58" s="118">
        <v>97.2</v>
      </c>
      <c r="F58" s="118">
        <v>160</v>
      </c>
      <c r="G58" s="118">
        <v>8.5</v>
      </c>
      <c r="H58" s="118">
        <v>36.1</v>
      </c>
      <c r="I58" s="118">
        <v>324.7</v>
      </c>
      <c r="J58" s="118">
        <v>24.7</v>
      </c>
      <c r="K58" s="118">
        <v>68.5</v>
      </c>
      <c r="L58" s="118">
        <v>122.2</v>
      </c>
      <c r="M58" s="118">
        <v>119.7</v>
      </c>
      <c r="N58" s="118">
        <v>98</v>
      </c>
      <c r="O58" s="118">
        <v>27.5</v>
      </c>
      <c r="P58" s="131">
        <v>195.6</v>
      </c>
      <c r="Q58" s="131">
        <v>208.2</v>
      </c>
      <c r="R58" s="131">
        <v>201.9</v>
      </c>
      <c r="S58" s="118">
        <v>747.8</v>
      </c>
      <c r="T58" s="131">
        <v>2.91</v>
      </c>
      <c r="U58" s="143">
        <v>2</v>
      </c>
      <c r="X58" s="335"/>
    </row>
    <row r="59" spans="1:24" ht="13.5">
      <c r="A59" s="310"/>
      <c r="B59" s="310"/>
      <c r="C59" s="332"/>
      <c r="D59" s="143" t="s">
        <v>122</v>
      </c>
      <c r="E59" s="118">
        <v>99.8</v>
      </c>
      <c r="F59" s="118">
        <v>139</v>
      </c>
      <c r="G59" s="118">
        <v>7.7</v>
      </c>
      <c r="H59" s="118">
        <v>34.6</v>
      </c>
      <c r="I59" s="118">
        <v>352.2</v>
      </c>
      <c r="J59" s="118">
        <v>25</v>
      </c>
      <c r="K59" s="118">
        <v>72.2</v>
      </c>
      <c r="L59" s="118">
        <v>132.4</v>
      </c>
      <c r="M59" s="118">
        <v>125.8</v>
      </c>
      <c r="N59" s="118">
        <v>95</v>
      </c>
      <c r="O59" s="118">
        <v>26.3</v>
      </c>
      <c r="P59" s="131">
        <v>172.6</v>
      </c>
      <c r="Q59" s="131">
        <v>190.9</v>
      </c>
      <c r="R59" s="131">
        <v>181.8</v>
      </c>
      <c r="S59" s="118">
        <v>673.5</v>
      </c>
      <c r="T59" s="131">
        <v>9.18</v>
      </c>
      <c r="U59" s="143">
        <v>2</v>
      </c>
      <c r="X59" s="335"/>
    </row>
    <row r="60" spans="1:24" ht="13.5">
      <c r="A60" s="310"/>
      <c r="B60" s="310"/>
      <c r="C60" s="332"/>
      <c r="D60" s="143" t="s">
        <v>123</v>
      </c>
      <c r="E60" s="118">
        <v>102</v>
      </c>
      <c r="F60" s="118">
        <v>158</v>
      </c>
      <c r="G60" s="118">
        <v>10.07</v>
      </c>
      <c r="H60" s="118">
        <v>32.04</v>
      </c>
      <c r="I60" s="118">
        <v>318.17</v>
      </c>
      <c r="J60" s="118">
        <v>21.77</v>
      </c>
      <c r="K60" s="118">
        <v>67.95</v>
      </c>
      <c r="L60" s="118">
        <v>120.41</v>
      </c>
      <c r="M60" s="118">
        <v>112.22</v>
      </c>
      <c r="N60" s="118">
        <v>93.2</v>
      </c>
      <c r="O60" s="118">
        <v>27.82</v>
      </c>
      <c r="P60" s="131">
        <v>234.34</v>
      </c>
      <c r="Q60" s="131">
        <v>239.5</v>
      </c>
      <c r="R60" s="131">
        <v>236.92</v>
      </c>
      <c r="S60" s="118">
        <v>636.88</v>
      </c>
      <c r="T60" s="131">
        <v>2.97</v>
      </c>
      <c r="U60" s="143">
        <v>2</v>
      </c>
      <c r="X60" s="335"/>
    </row>
    <row r="61" spans="1:24" ht="13.5">
      <c r="A61" s="310"/>
      <c r="B61" s="310"/>
      <c r="C61" s="332"/>
      <c r="D61" s="143" t="s">
        <v>124</v>
      </c>
      <c r="E61" s="118">
        <v>91.6</v>
      </c>
      <c r="F61" s="118">
        <v>150</v>
      </c>
      <c r="G61" s="118">
        <v>6.1</v>
      </c>
      <c r="H61" s="118">
        <v>26.7</v>
      </c>
      <c r="I61" s="118">
        <v>338</v>
      </c>
      <c r="J61" s="118">
        <v>21.5</v>
      </c>
      <c r="K61" s="118">
        <v>81</v>
      </c>
      <c r="L61" s="118">
        <v>116.4</v>
      </c>
      <c r="M61" s="118">
        <v>114.1</v>
      </c>
      <c r="N61" s="118">
        <v>98</v>
      </c>
      <c r="O61" s="118">
        <v>29.3</v>
      </c>
      <c r="P61" s="131">
        <v>154.5</v>
      </c>
      <c r="Q61" s="131">
        <v>147.3</v>
      </c>
      <c r="R61" s="131">
        <v>150.9</v>
      </c>
      <c r="S61" s="118">
        <v>628.9</v>
      </c>
      <c r="T61" s="131">
        <v>3.66</v>
      </c>
      <c r="U61" s="143">
        <v>2</v>
      </c>
      <c r="X61" s="335"/>
    </row>
    <row r="62" spans="1:24" ht="13.5">
      <c r="A62" s="310"/>
      <c r="B62" s="310"/>
      <c r="C62" s="332"/>
      <c r="D62" s="144" t="s">
        <v>125</v>
      </c>
      <c r="E62" s="120">
        <f aca="true" t="shared" si="17" ref="E62:S62">AVERAGE(E54:E61)</f>
        <v>97.7625</v>
      </c>
      <c r="F62" s="120">
        <f t="shared" si="17"/>
        <v>153</v>
      </c>
      <c r="G62" s="120">
        <f t="shared" si="17"/>
        <v>8.299375</v>
      </c>
      <c r="H62" s="120">
        <f t="shared" si="17"/>
        <v>31.7475</v>
      </c>
      <c r="I62" s="120">
        <f t="shared" si="17"/>
        <v>325.42125</v>
      </c>
      <c r="J62" s="120">
        <f t="shared" si="17"/>
        <v>22.26</v>
      </c>
      <c r="K62" s="120">
        <f t="shared" si="17"/>
        <v>70.625</v>
      </c>
      <c r="L62" s="120">
        <f t="shared" si="17"/>
        <v>123.60125</v>
      </c>
      <c r="M62" s="120">
        <f t="shared" si="17"/>
        <v>117.115</v>
      </c>
      <c r="N62" s="120">
        <f t="shared" si="17"/>
        <v>94.7825</v>
      </c>
      <c r="O62" s="120">
        <f t="shared" si="17"/>
        <v>27.98875</v>
      </c>
      <c r="P62" s="132">
        <f t="shared" si="17"/>
        <v>230.4475</v>
      </c>
      <c r="Q62" s="132">
        <f t="shared" si="17"/>
        <v>240.06875</v>
      </c>
      <c r="R62" s="132">
        <f t="shared" si="17"/>
        <v>235.270625</v>
      </c>
      <c r="S62" s="120">
        <f t="shared" si="17"/>
        <v>677.54625</v>
      </c>
      <c r="T62" s="132">
        <v>4.44</v>
      </c>
      <c r="U62" s="144">
        <v>2</v>
      </c>
      <c r="X62" s="335"/>
    </row>
  </sheetData>
  <sheetProtection/>
  <mergeCells count="20">
    <mergeCell ref="C33:C42"/>
    <mergeCell ref="C43:C53"/>
    <mergeCell ref="C54:C62"/>
    <mergeCell ref="D1:D2"/>
    <mergeCell ref="X1:X2"/>
    <mergeCell ref="X3:X62"/>
    <mergeCell ref="P1:S1"/>
    <mergeCell ref="C3:C12"/>
    <mergeCell ref="C13:C23"/>
    <mergeCell ref="C24:C32"/>
    <mergeCell ref="A33:A42"/>
    <mergeCell ref="A43:A53"/>
    <mergeCell ref="A54:A62"/>
    <mergeCell ref="B1:B2"/>
    <mergeCell ref="B3:B32"/>
    <mergeCell ref="B33:B62"/>
    <mergeCell ref="A1:A2"/>
    <mergeCell ref="A3:A12"/>
    <mergeCell ref="A13:A23"/>
    <mergeCell ref="A24:A32"/>
  </mergeCells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17">
      <selection activeCell="W3" sqref="W3:W86"/>
    </sheetView>
  </sheetViews>
  <sheetFormatPr defaultColWidth="9.00390625" defaultRowHeight="15"/>
  <sheetData>
    <row r="1" spans="1:23" ht="15">
      <c r="A1" s="310" t="s">
        <v>0</v>
      </c>
      <c r="B1" s="310" t="s">
        <v>1</v>
      </c>
      <c r="C1" s="349" t="s">
        <v>130</v>
      </c>
      <c r="D1" s="345" t="s">
        <v>3</v>
      </c>
      <c r="E1" s="339" t="s">
        <v>131</v>
      </c>
      <c r="F1" s="347" t="s">
        <v>132</v>
      </c>
      <c r="G1" s="343" t="s">
        <v>133</v>
      </c>
      <c r="H1" s="343" t="s">
        <v>134</v>
      </c>
      <c r="I1" s="341" t="s">
        <v>135</v>
      </c>
      <c r="J1" s="343" t="s">
        <v>136</v>
      </c>
      <c r="K1" s="343" t="s">
        <v>137</v>
      </c>
      <c r="L1" s="339" t="s">
        <v>138</v>
      </c>
      <c r="M1" s="339" t="s">
        <v>139</v>
      </c>
      <c r="N1" s="341" t="s">
        <v>140</v>
      </c>
      <c r="O1" s="341" t="s">
        <v>141</v>
      </c>
      <c r="P1" s="355" t="s">
        <v>142</v>
      </c>
      <c r="Q1" s="356"/>
      <c r="R1" s="356"/>
      <c r="S1" s="356"/>
      <c r="T1" s="343" t="s">
        <v>143</v>
      </c>
      <c r="U1" s="353" t="s">
        <v>144</v>
      </c>
      <c r="V1" s="328" t="s">
        <v>145</v>
      </c>
      <c r="W1" s="316" t="s">
        <v>18</v>
      </c>
    </row>
    <row r="2" spans="1:23" ht="13.5">
      <c r="A2" s="310"/>
      <c r="B2" s="310"/>
      <c r="C2" s="350"/>
      <c r="D2" s="346"/>
      <c r="E2" s="340"/>
      <c r="F2" s="348"/>
      <c r="G2" s="344"/>
      <c r="H2" s="344"/>
      <c r="I2" s="342"/>
      <c r="J2" s="344"/>
      <c r="K2" s="344"/>
      <c r="L2" s="340"/>
      <c r="M2" s="340"/>
      <c r="N2" s="342"/>
      <c r="O2" s="342"/>
      <c r="P2" s="121" t="s">
        <v>27</v>
      </c>
      <c r="Q2" s="121" t="s">
        <v>28</v>
      </c>
      <c r="R2" s="121" t="s">
        <v>29</v>
      </c>
      <c r="S2" s="121" t="s">
        <v>30</v>
      </c>
      <c r="T2" s="344"/>
      <c r="U2" s="354"/>
      <c r="V2" s="330"/>
      <c r="W2" s="317"/>
    </row>
    <row r="3" spans="1:23" ht="15">
      <c r="A3" s="310" t="s">
        <v>34</v>
      </c>
      <c r="B3" s="310" t="s">
        <v>146</v>
      </c>
      <c r="C3" s="349" t="s">
        <v>147</v>
      </c>
      <c r="D3" s="103" t="s">
        <v>110</v>
      </c>
      <c r="E3" s="104">
        <v>99</v>
      </c>
      <c r="F3" s="104">
        <v>142</v>
      </c>
      <c r="G3" s="105">
        <v>8.2</v>
      </c>
      <c r="H3" s="105">
        <v>28.2</v>
      </c>
      <c r="I3" s="122">
        <v>244</v>
      </c>
      <c r="J3" s="105">
        <v>21.1</v>
      </c>
      <c r="K3" s="105">
        <v>74.8</v>
      </c>
      <c r="L3" s="104">
        <v>115</v>
      </c>
      <c r="M3" s="102">
        <v>107</v>
      </c>
      <c r="N3" s="123">
        <v>93</v>
      </c>
      <c r="O3" s="123">
        <v>27.4</v>
      </c>
      <c r="P3" s="106">
        <v>11.87</v>
      </c>
      <c r="Q3" s="106">
        <v>12.14</v>
      </c>
      <c r="R3" s="106">
        <v>12.5</v>
      </c>
      <c r="S3" s="106">
        <v>12.17</v>
      </c>
      <c r="T3" s="106">
        <v>608.5</v>
      </c>
      <c r="U3" s="133">
        <v>8.27402135231316</v>
      </c>
      <c r="V3" s="101">
        <v>3</v>
      </c>
      <c r="W3" s="318" t="s">
        <v>148</v>
      </c>
    </row>
    <row r="4" spans="1:23" ht="15">
      <c r="A4" s="310"/>
      <c r="B4" s="310"/>
      <c r="C4" s="350"/>
      <c r="D4" s="103" t="s">
        <v>149</v>
      </c>
      <c r="E4" s="102">
        <v>85.5</v>
      </c>
      <c r="F4" s="102">
        <v>149</v>
      </c>
      <c r="G4" s="106">
        <v>8.8</v>
      </c>
      <c r="H4" s="106">
        <v>38.7</v>
      </c>
      <c r="I4" s="123">
        <v>340.9</v>
      </c>
      <c r="J4" s="106">
        <v>25.02</v>
      </c>
      <c r="K4" s="106">
        <v>64.7</v>
      </c>
      <c r="L4" s="102">
        <v>108.4</v>
      </c>
      <c r="M4" s="102">
        <v>106.2</v>
      </c>
      <c r="N4" s="123">
        <v>98</v>
      </c>
      <c r="O4" s="123">
        <v>27.8</v>
      </c>
      <c r="P4" s="106">
        <v>14.3</v>
      </c>
      <c r="Q4" s="106">
        <v>14.6</v>
      </c>
      <c r="R4" s="106">
        <v>13.6</v>
      </c>
      <c r="S4" s="106">
        <v>14.2</v>
      </c>
      <c r="T4" s="106">
        <v>710</v>
      </c>
      <c r="U4" s="134">
        <v>13.6</v>
      </c>
      <c r="V4" s="101">
        <v>2</v>
      </c>
      <c r="W4" s="335"/>
    </row>
    <row r="5" spans="1:23" ht="15">
      <c r="A5" s="310"/>
      <c r="B5" s="310"/>
      <c r="C5" s="350"/>
      <c r="D5" s="103" t="s">
        <v>150</v>
      </c>
      <c r="E5" s="102">
        <v>83</v>
      </c>
      <c r="F5" s="102">
        <v>148</v>
      </c>
      <c r="G5" s="106">
        <v>10.85</v>
      </c>
      <c r="H5" s="106">
        <v>32.11</v>
      </c>
      <c r="I5" s="102">
        <f>(H5-G5)/G5*100</f>
        <v>195.944700460829</v>
      </c>
      <c r="J5" s="106">
        <v>20.79</v>
      </c>
      <c r="K5" s="106">
        <v>64.75</v>
      </c>
      <c r="L5" s="102">
        <v>129.55</v>
      </c>
      <c r="M5" s="104">
        <v>119.34</v>
      </c>
      <c r="N5" s="123">
        <v>92.12</v>
      </c>
      <c r="O5" s="123">
        <v>27.1</v>
      </c>
      <c r="P5" s="105">
        <v>12.9</v>
      </c>
      <c r="Q5" s="105">
        <v>13.35</v>
      </c>
      <c r="R5" s="105">
        <v>13.35</v>
      </c>
      <c r="S5" s="105">
        <v>13.2</v>
      </c>
      <c r="T5" s="105">
        <v>660</v>
      </c>
      <c r="U5" s="134">
        <v>2.72373540856031</v>
      </c>
      <c r="V5" s="135">
        <v>8</v>
      </c>
      <c r="W5" s="335"/>
    </row>
    <row r="6" spans="1:23" ht="15">
      <c r="A6" s="310"/>
      <c r="B6" s="310"/>
      <c r="C6" s="350"/>
      <c r="D6" s="103" t="s">
        <v>151</v>
      </c>
      <c r="E6" s="104">
        <v>93.6</v>
      </c>
      <c r="F6" s="104">
        <v>144</v>
      </c>
      <c r="G6" s="105">
        <v>8.5</v>
      </c>
      <c r="H6" s="105">
        <v>34.6</v>
      </c>
      <c r="I6" s="122">
        <v>307.06</v>
      </c>
      <c r="J6" s="105">
        <v>21.1</v>
      </c>
      <c r="K6" s="105">
        <v>60.98</v>
      </c>
      <c r="L6" s="102">
        <v>134.9</v>
      </c>
      <c r="M6" s="102">
        <v>124.2</v>
      </c>
      <c r="N6" s="123">
        <v>92.07</v>
      </c>
      <c r="O6" s="123">
        <v>26.84</v>
      </c>
      <c r="P6" s="106">
        <v>13.58</v>
      </c>
      <c r="Q6" s="106">
        <v>13.76</v>
      </c>
      <c r="R6" s="106">
        <v>13.88</v>
      </c>
      <c r="S6" s="106">
        <v>13.74</v>
      </c>
      <c r="T6" s="106">
        <v>687</v>
      </c>
      <c r="U6" s="134">
        <v>2.84431137724551</v>
      </c>
      <c r="V6" s="101">
        <v>8</v>
      </c>
      <c r="W6" s="335"/>
    </row>
    <row r="7" spans="1:23" ht="15">
      <c r="A7" s="310"/>
      <c r="B7" s="310"/>
      <c r="C7" s="350"/>
      <c r="D7" s="103" t="s">
        <v>111</v>
      </c>
      <c r="E7" s="102">
        <v>86.4</v>
      </c>
      <c r="F7" s="102">
        <v>142</v>
      </c>
      <c r="G7" s="106">
        <v>4.4</v>
      </c>
      <c r="H7" s="106">
        <v>35.7</v>
      </c>
      <c r="I7" s="123">
        <v>711.36</v>
      </c>
      <c r="J7" s="106">
        <v>24.2</v>
      </c>
      <c r="K7" s="106">
        <v>67.8</v>
      </c>
      <c r="L7" s="102">
        <v>124.6</v>
      </c>
      <c r="M7" s="102">
        <v>117.8</v>
      </c>
      <c r="N7" s="123">
        <v>94.5</v>
      </c>
      <c r="O7" s="123">
        <v>26.31</v>
      </c>
      <c r="P7" s="106">
        <v>13.64</v>
      </c>
      <c r="Q7" s="106">
        <v>14.02</v>
      </c>
      <c r="R7" s="106">
        <v>13.96</v>
      </c>
      <c r="S7" s="106">
        <v>13.87</v>
      </c>
      <c r="T7" s="106">
        <v>693.5</v>
      </c>
      <c r="U7" s="133">
        <v>9.04088050314464</v>
      </c>
      <c r="V7" s="101">
        <v>2</v>
      </c>
      <c r="W7" s="335"/>
    </row>
    <row r="8" spans="1:23" ht="15">
      <c r="A8" s="310"/>
      <c r="B8" s="310"/>
      <c r="C8" s="350"/>
      <c r="D8" s="103" t="s">
        <v>116</v>
      </c>
      <c r="E8" s="104">
        <v>78.6</v>
      </c>
      <c r="F8" s="104">
        <v>148</v>
      </c>
      <c r="G8" s="106">
        <v>7.7</v>
      </c>
      <c r="H8" s="106">
        <v>31.5</v>
      </c>
      <c r="I8" s="123">
        <v>309.1</v>
      </c>
      <c r="J8" s="106">
        <v>20.3</v>
      </c>
      <c r="K8" s="106">
        <v>64.4</v>
      </c>
      <c r="L8" s="104">
        <v>127.1</v>
      </c>
      <c r="M8" s="104">
        <v>118.3</v>
      </c>
      <c r="N8" s="122">
        <v>93.1</v>
      </c>
      <c r="O8" s="122">
        <v>26.2</v>
      </c>
      <c r="P8" s="106">
        <v>11.9</v>
      </c>
      <c r="Q8" s="106">
        <v>11.5</v>
      </c>
      <c r="R8" s="106">
        <v>12.1</v>
      </c>
      <c r="S8" s="106">
        <v>11.8</v>
      </c>
      <c r="T8" s="106">
        <v>590</v>
      </c>
      <c r="U8" s="134">
        <v>0</v>
      </c>
      <c r="V8" s="101">
        <v>4</v>
      </c>
      <c r="W8" s="335"/>
    </row>
    <row r="9" spans="1:23" ht="15">
      <c r="A9" s="310"/>
      <c r="B9" s="310"/>
      <c r="C9" s="350"/>
      <c r="D9" s="103" t="s">
        <v>112</v>
      </c>
      <c r="E9" s="104">
        <v>91.2</v>
      </c>
      <c r="F9" s="104">
        <v>147</v>
      </c>
      <c r="G9" s="105">
        <v>8.95</v>
      </c>
      <c r="H9" s="105">
        <v>37.92</v>
      </c>
      <c r="I9" s="122">
        <v>324</v>
      </c>
      <c r="J9" s="105">
        <v>25.95</v>
      </c>
      <c r="K9" s="105">
        <v>68.43</v>
      </c>
      <c r="L9" s="104">
        <v>118.8</v>
      </c>
      <c r="M9" s="104">
        <v>112.59</v>
      </c>
      <c r="N9" s="122">
        <v>94.77</v>
      </c>
      <c r="O9" s="122">
        <v>26.2</v>
      </c>
      <c r="P9" s="105">
        <v>15.18</v>
      </c>
      <c r="Q9" s="105">
        <v>15</v>
      </c>
      <c r="R9" s="105">
        <v>15.3</v>
      </c>
      <c r="S9" s="105">
        <v>15.16</v>
      </c>
      <c r="T9" s="105">
        <v>758</v>
      </c>
      <c r="U9" s="134">
        <v>8.72839417628918</v>
      </c>
      <c r="V9" s="135">
        <v>2</v>
      </c>
      <c r="W9" s="335"/>
    </row>
    <row r="10" spans="1:23" ht="15">
      <c r="A10" s="310"/>
      <c r="B10" s="310"/>
      <c r="C10" s="350"/>
      <c r="D10" s="103" t="s">
        <v>152</v>
      </c>
      <c r="E10" s="104">
        <v>80</v>
      </c>
      <c r="F10" s="104">
        <v>149</v>
      </c>
      <c r="G10" s="105">
        <v>7.9</v>
      </c>
      <c r="H10" s="106">
        <v>28.9</v>
      </c>
      <c r="I10" s="122">
        <v>365.82</v>
      </c>
      <c r="J10" s="124">
        <v>17.6</v>
      </c>
      <c r="K10" s="105">
        <v>60.9</v>
      </c>
      <c r="L10" s="104">
        <v>160.7</v>
      </c>
      <c r="M10" s="104">
        <v>152.1</v>
      </c>
      <c r="N10" s="125">
        <v>94.65</v>
      </c>
      <c r="O10" s="122">
        <v>27.9</v>
      </c>
      <c r="P10" s="124">
        <v>13.94</v>
      </c>
      <c r="Q10" s="124">
        <v>13.77</v>
      </c>
      <c r="R10" s="124">
        <v>13.86</v>
      </c>
      <c r="S10" s="124">
        <v>13.86</v>
      </c>
      <c r="T10" s="124">
        <v>693</v>
      </c>
      <c r="U10" s="134">
        <v>3.20178704393149</v>
      </c>
      <c r="V10" s="135">
        <v>2</v>
      </c>
      <c r="W10" s="335"/>
    </row>
    <row r="11" spans="1:23" ht="15">
      <c r="A11" s="310"/>
      <c r="B11" s="310"/>
      <c r="C11" s="350"/>
      <c r="D11" s="103" t="s">
        <v>37</v>
      </c>
      <c r="E11" s="102">
        <v>95</v>
      </c>
      <c r="F11" s="102">
        <v>140</v>
      </c>
      <c r="G11" s="106">
        <v>6.73</v>
      </c>
      <c r="H11" s="106">
        <v>33.07</v>
      </c>
      <c r="I11" s="123">
        <v>391.4</v>
      </c>
      <c r="J11" s="106">
        <v>22.27</v>
      </c>
      <c r="K11" s="106">
        <v>67.3</v>
      </c>
      <c r="L11" s="102">
        <v>103.3</v>
      </c>
      <c r="M11" s="102">
        <v>96.1</v>
      </c>
      <c r="N11" s="123">
        <v>93</v>
      </c>
      <c r="O11" s="123">
        <v>26</v>
      </c>
      <c r="P11" s="106">
        <v>13.85</v>
      </c>
      <c r="Q11" s="106">
        <v>14.33</v>
      </c>
      <c r="R11" s="106">
        <v>13.52</v>
      </c>
      <c r="S11" s="106">
        <v>13.9</v>
      </c>
      <c r="T11" s="106">
        <v>695</v>
      </c>
      <c r="U11" s="134">
        <v>0.870827285921633</v>
      </c>
      <c r="V11" s="101">
        <v>4</v>
      </c>
      <c r="W11" s="335"/>
    </row>
    <row r="12" spans="1:23" ht="14.25">
      <c r="A12" s="310"/>
      <c r="B12" s="310"/>
      <c r="C12" s="350"/>
      <c r="D12" s="107" t="s">
        <v>30</v>
      </c>
      <c r="E12" s="108">
        <f aca="true" t="shared" si="0" ref="E12:R12">AVERAGE(E3:E11)</f>
        <v>88.0333333333333</v>
      </c>
      <c r="F12" s="108">
        <f t="shared" si="0"/>
        <v>145.444444444444</v>
      </c>
      <c r="G12" s="109">
        <f t="shared" si="0"/>
        <v>8.00333333333334</v>
      </c>
      <c r="H12" s="109">
        <f t="shared" si="0"/>
        <v>33.4111111111111</v>
      </c>
      <c r="I12" s="108">
        <f t="shared" si="0"/>
        <v>354.398300051203</v>
      </c>
      <c r="J12" s="109">
        <f t="shared" si="0"/>
        <v>22.0366666666667</v>
      </c>
      <c r="K12" s="109">
        <f t="shared" si="0"/>
        <v>66.0066666666667</v>
      </c>
      <c r="L12" s="108">
        <f t="shared" si="0"/>
        <v>124.705555555556</v>
      </c>
      <c r="M12" s="108">
        <f t="shared" si="0"/>
        <v>117.07</v>
      </c>
      <c r="N12" s="126">
        <f t="shared" si="0"/>
        <v>93.9122222222222</v>
      </c>
      <c r="O12" s="126">
        <f t="shared" si="0"/>
        <v>26.8611111111111</v>
      </c>
      <c r="P12" s="109">
        <f t="shared" si="0"/>
        <v>13.4622222222222</v>
      </c>
      <c r="Q12" s="109">
        <f t="shared" si="0"/>
        <v>13.6077777777778</v>
      </c>
      <c r="R12" s="109">
        <f t="shared" si="0"/>
        <v>13.5633333333333</v>
      </c>
      <c r="S12" s="136">
        <v>13.5444444444444</v>
      </c>
      <c r="T12" s="136">
        <v>677.222222222222</v>
      </c>
      <c r="U12" s="136">
        <v>5.44374603540741</v>
      </c>
      <c r="V12" s="137">
        <v>2</v>
      </c>
      <c r="W12" s="335"/>
    </row>
    <row r="13" spans="1:23" ht="13.5">
      <c r="A13" s="310" t="s">
        <v>47</v>
      </c>
      <c r="B13" s="310"/>
      <c r="C13" s="351" t="s">
        <v>153</v>
      </c>
      <c r="D13" s="111" t="s">
        <v>100</v>
      </c>
      <c r="E13" s="112">
        <v>99</v>
      </c>
      <c r="F13" s="112">
        <v>145</v>
      </c>
      <c r="G13" s="112">
        <v>6.4</v>
      </c>
      <c r="H13" s="112">
        <v>30.2</v>
      </c>
      <c r="I13" s="112">
        <v>371</v>
      </c>
      <c r="J13" s="112">
        <v>20.9</v>
      </c>
      <c r="K13" s="112">
        <v>69.2</v>
      </c>
      <c r="L13" s="112">
        <v>135</v>
      </c>
      <c r="M13" s="113">
        <v>124</v>
      </c>
      <c r="N13" s="113">
        <v>91.9</v>
      </c>
      <c r="O13" s="113">
        <v>24.1</v>
      </c>
      <c r="P13" s="127">
        <v>11.56</v>
      </c>
      <c r="Q13" s="127">
        <v>12.37</v>
      </c>
      <c r="R13" s="127">
        <v>11.81</v>
      </c>
      <c r="S13" s="127">
        <v>11.91</v>
      </c>
      <c r="T13" s="113">
        <v>595.7</v>
      </c>
      <c r="U13" s="138">
        <f>100*(T13-530.2)/530.2</f>
        <v>12.3538287438702</v>
      </c>
      <c r="V13" s="139">
        <v>1</v>
      </c>
      <c r="W13" s="335"/>
    </row>
    <row r="14" spans="1:23" ht="13.5">
      <c r="A14" s="310"/>
      <c r="B14" s="310"/>
      <c r="C14" s="352"/>
      <c r="D14" s="111" t="s">
        <v>154</v>
      </c>
      <c r="E14" s="113">
        <v>99</v>
      </c>
      <c r="F14" s="113">
        <v>152</v>
      </c>
      <c r="G14" s="113">
        <v>9.3</v>
      </c>
      <c r="H14" s="113">
        <v>35.2</v>
      </c>
      <c r="I14" s="113">
        <v>378.5</v>
      </c>
      <c r="J14" s="113">
        <v>23.4</v>
      </c>
      <c r="K14" s="113">
        <v>66.5</v>
      </c>
      <c r="L14" s="113">
        <v>136.9</v>
      </c>
      <c r="M14" s="112">
        <v>125.7</v>
      </c>
      <c r="N14" s="113">
        <v>91.8</v>
      </c>
      <c r="O14" s="113">
        <v>27.2</v>
      </c>
      <c r="P14" s="128">
        <v>13.9</v>
      </c>
      <c r="Q14" s="128">
        <v>13.75</v>
      </c>
      <c r="R14" s="128">
        <v>13.95</v>
      </c>
      <c r="S14" s="128">
        <v>13.87</v>
      </c>
      <c r="T14" s="112">
        <v>693.33</v>
      </c>
      <c r="U14" s="138">
        <f>100*(T14-665.83)/665.83</f>
        <v>4.13018338014208</v>
      </c>
      <c r="V14" s="140">
        <v>7</v>
      </c>
      <c r="W14" s="335"/>
    </row>
    <row r="15" spans="1:23" ht="13.5">
      <c r="A15" s="310"/>
      <c r="B15" s="310"/>
      <c r="C15" s="352"/>
      <c r="D15" s="111" t="s">
        <v>155</v>
      </c>
      <c r="E15" s="113">
        <v>96.2</v>
      </c>
      <c r="F15" s="113">
        <v>148</v>
      </c>
      <c r="G15" s="113">
        <v>12.7</v>
      </c>
      <c r="H15" s="113">
        <v>39.9</v>
      </c>
      <c r="I15" s="113">
        <v>214.2</v>
      </c>
      <c r="J15" s="113">
        <v>25.2</v>
      </c>
      <c r="K15" s="113">
        <v>63.3</v>
      </c>
      <c r="L15" s="113">
        <v>135.4</v>
      </c>
      <c r="M15" s="113">
        <v>129.3</v>
      </c>
      <c r="N15" s="113">
        <v>95.5</v>
      </c>
      <c r="O15" s="113">
        <v>26.84</v>
      </c>
      <c r="P15" s="127">
        <v>13.65</v>
      </c>
      <c r="Q15" s="127">
        <v>13.74</v>
      </c>
      <c r="R15" s="127">
        <v>13.49</v>
      </c>
      <c r="S15" s="127">
        <v>13.63</v>
      </c>
      <c r="T15" s="110">
        <v>681.3</v>
      </c>
      <c r="U15" s="138">
        <f>100*(T15-637)/637</f>
        <v>6.95447409733123</v>
      </c>
      <c r="V15" s="110">
        <v>2</v>
      </c>
      <c r="W15" s="335"/>
    </row>
    <row r="16" spans="1:23" ht="13.5">
      <c r="A16" s="310"/>
      <c r="B16" s="310"/>
      <c r="C16" s="352"/>
      <c r="D16" s="111" t="s">
        <v>156</v>
      </c>
      <c r="E16" s="112">
        <v>110.7</v>
      </c>
      <c r="F16" s="112">
        <v>151</v>
      </c>
      <c r="G16" s="112">
        <v>6.8</v>
      </c>
      <c r="H16" s="112">
        <v>40.9</v>
      </c>
      <c r="I16" s="112">
        <v>501.47</v>
      </c>
      <c r="J16" s="112">
        <v>25.4</v>
      </c>
      <c r="K16" s="112">
        <v>62.1</v>
      </c>
      <c r="L16" s="113">
        <v>130</v>
      </c>
      <c r="M16" s="113">
        <v>123.5</v>
      </c>
      <c r="N16" s="113">
        <v>95</v>
      </c>
      <c r="O16" s="113">
        <v>24.9</v>
      </c>
      <c r="P16" s="127">
        <v>12.2</v>
      </c>
      <c r="Q16" s="127">
        <v>12.95</v>
      </c>
      <c r="R16" s="127">
        <v>12.6</v>
      </c>
      <c r="S16" s="127">
        <v>12.58</v>
      </c>
      <c r="T16" s="113">
        <v>629</v>
      </c>
      <c r="U16" s="138">
        <f>100*(T16-620)/620</f>
        <v>1.45161290322581</v>
      </c>
      <c r="V16" s="139">
        <v>8</v>
      </c>
      <c r="W16" s="335"/>
    </row>
    <row r="17" spans="1:23" ht="13.5">
      <c r="A17" s="310"/>
      <c r="B17" s="310"/>
      <c r="C17" s="352"/>
      <c r="D17" s="111" t="s">
        <v>157</v>
      </c>
      <c r="E17" s="112">
        <v>90.9</v>
      </c>
      <c r="F17" s="112">
        <v>142</v>
      </c>
      <c r="G17" s="113">
        <v>6.5</v>
      </c>
      <c r="H17" s="113">
        <v>29.2</v>
      </c>
      <c r="I17" s="113">
        <v>349.2</v>
      </c>
      <c r="J17" s="113">
        <v>18.9</v>
      </c>
      <c r="K17" s="113">
        <v>64.7</v>
      </c>
      <c r="L17" s="113">
        <v>149.7</v>
      </c>
      <c r="M17" s="113">
        <v>123.6</v>
      </c>
      <c r="N17" s="113">
        <f>100*M17/L17</f>
        <v>82.565130260521</v>
      </c>
      <c r="O17" s="113">
        <v>29.1</v>
      </c>
      <c r="P17" s="127">
        <v>9.7</v>
      </c>
      <c r="Q17" s="127">
        <v>8.7</v>
      </c>
      <c r="R17" s="127">
        <v>9.3</v>
      </c>
      <c r="S17" s="127">
        <v>9.2</v>
      </c>
      <c r="T17" s="113">
        <v>460.4</v>
      </c>
      <c r="U17" s="138">
        <f>100*(T17-554.4)/554.4</f>
        <v>-16.955266955267</v>
      </c>
      <c r="V17" s="139">
        <v>13</v>
      </c>
      <c r="W17" s="335"/>
    </row>
    <row r="18" spans="1:23" ht="13.5">
      <c r="A18" s="310"/>
      <c r="B18" s="310"/>
      <c r="C18" s="352"/>
      <c r="D18" s="111" t="s">
        <v>102</v>
      </c>
      <c r="E18" s="112">
        <v>97</v>
      </c>
      <c r="F18" s="112">
        <v>156</v>
      </c>
      <c r="G18" s="112">
        <v>9.1</v>
      </c>
      <c r="H18" s="112">
        <v>37.13</v>
      </c>
      <c r="I18" s="112">
        <v>308</v>
      </c>
      <c r="J18" s="112">
        <v>25.71</v>
      </c>
      <c r="K18" s="112">
        <v>69.24</v>
      </c>
      <c r="L18" s="112">
        <v>130.05</v>
      </c>
      <c r="M18" s="112">
        <v>119.15</v>
      </c>
      <c r="N18" s="112">
        <v>91.62</v>
      </c>
      <c r="O18" s="112">
        <v>25</v>
      </c>
      <c r="P18" s="128">
        <v>15</v>
      </c>
      <c r="Q18" s="128">
        <v>15.6</v>
      </c>
      <c r="R18" s="128">
        <v>15.35</v>
      </c>
      <c r="S18" s="128">
        <v>15.317</v>
      </c>
      <c r="T18" s="112">
        <v>765.85</v>
      </c>
      <c r="U18" s="138">
        <f>100*(T18-718.35)/718.35</f>
        <v>6.61237558293311</v>
      </c>
      <c r="V18" s="140">
        <v>2</v>
      </c>
      <c r="W18" s="335"/>
    </row>
    <row r="19" spans="1:23" ht="13.5">
      <c r="A19" s="310"/>
      <c r="B19" s="310"/>
      <c r="C19" s="352"/>
      <c r="D19" s="111" t="s">
        <v>158</v>
      </c>
      <c r="E19" s="113">
        <v>103</v>
      </c>
      <c r="F19" s="113">
        <v>151</v>
      </c>
      <c r="G19" s="113">
        <v>6</v>
      </c>
      <c r="H19" s="114">
        <v>31.4</v>
      </c>
      <c r="I19" s="113">
        <v>457</v>
      </c>
      <c r="J19" s="114">
        <v>19.1</v>
      </c>
      <c r="K19" s="114">
        <v>60.8</v>
      </c>
      <c r="L19" s="114">
        <v>161.5</v>
      </c>
      <c r="M19" s="114">
        <v>152.4</v>
      </c>
      <c r="N19" s="114">
        <v>94.3</v>
      </c>
      <c r="O19" s="114">
        <v>27.75</v>
      </c>
      <c r="P19" s="129">
        <v>13.41</v>
      </c>
      <c r="Q19" s="129">
        <v>13.46</v>
      </c>
      <c r="R19" s="129">
        <v>14.15</v>
      </c>
      <c r="S19" s="129">
        <v>13.67</v>
      </c>
      <c r="T19" s="114">
        <v>683.67</v>
      </c>
      <c r="U19" s="138">
        <f>100*(T19-630)/630</f>
        <v>8.51904761904761</v>
      </c>
      <c r="V19" s="139">
        <v>4</v>
      </c>
      <c r="W19" s="335"/>
    </row>
    <row r="20" spans="1:23" ht="13.5">
      <c r="A20" s="310"/>
      <c r="B20" s="310"/>
      <c r="C20" s="352"/>
      <c r="D20" s="111" t="s">
        <v>105</v>
      </c>
      <c r="E20" s="113">
        <v>107</v>
      </c>
      <c r="F20" s="113">
        <v>150</v>
      </c>
      <c r="G20" s="113">
        <v>7.33</v>
      </c>
      <c r="H20" s="113">
        <v>37.2</v>
      </c>
      <c r="I20" s="113">
        <v>407.5</v>
      </c>
      <c r="J20" s="113">
        <v>26.2</v>
      </c>
      <c r="K20" s="113">
        <v>70.4</v>
      </c>
      <c r="L20" s="113">
        <v>93.4</v>
      </c>
      <c r="M20" s="113">
        <v>88</v>
      </c>
      <c r="N20" s="113">
        <v>94.2</v>
      </c>
      <c r="O20" s="113">
        <v>26.5</v>
      </c>
      <c r="P20" s="127">
        <v>12.716</v>
      </c>
      <c r="Q20" s="127">
        <v>13.212</v>
      </c>
      <c r="R20" s="127">
        <v>13.114</v>
      </c>
      <c r="S20" s="127">
        <v>13.014</v>
      </c>
      <c r="T20" s="113">
        <v>650.7</v>
      </c>
      <c r="U20" s="138">
        <f>100*(T20-629.35)/629.35</f>
        <v>3.39238897274967</v>
      </c>
      <c r="V20" s="139">
        <v>3</v>
      </c>
      <c r="W20" s="335"/>
    </row>
    <row r="21" spans="1:23" ht="13.5">
      <c r="A21" s="310"/>
      <c r="B21" s="310"/>
      <c r="C21" s="352"/>
      <c r="D21" s="111" t="s">
        <v>159</v>
      </c>
      <c r="E21" s="112">
        <v>95</v>
      </c>
      <c r="F21" s="112">
        <v>144</v>
      </c>
      <c r="G21" s="112">
        <v>8.2</v>
      </c>
      <c r="H21" s="113">
        <v>24.8</v>
      </c>
      <c r="I21" s="112">
        <v>302.44</v>
      </c>
      <c r="J21" s="113">
        <v>23.25</v>
      </c>
      <c r="K21" s="113">
        <v>93.75</v>
      </c>
      <c r="L21" s="113">
        <v>134.6</v>
      </c>
      <c r="M21" s="113">
        <v>119.9</v>
      </c>
      <c r="N21" s="113">
        <v>89.08</v>
      </c>
      <c r="O21" s="113">
        <v>24.83</v>
      </c>
      <c r="P21" s="127">
        <v>13.8</v>
      </c>
      <c r="Q21" s="127">
        <v>13.95</v>
      </c>
      <c r="R21" s="127">
        <v>13.6</v>
      </c>
      <c r="S21" s="127">
        <v>13.78</v>
      </c>
      <c r="T21" s="113">
        <v>689.17</v>
      </c>
      <c r="U21" s="138">
        <f>100*(T21-623.33)/623.33</f>
        <v>10.5626233295365</v>
      </c>
      <c r="V21" s="139">
        <v>2</v>
      </c>
      <c r="W21" s="335"/>
    </row>
    <row r="22" spans="1:23" ht="13.5">
      <c r="A22" s="310"/>
      <c r="B22" s="310"/>
      <c r="C22" s="352"/>
      <c r="D22" s="111" t="s">
        <v>160</v>
      </c>
      <c r="E22" s="113">
        <v>102.5</v>
      </c>
      <c r="F22" s="113">
        <v>146</v>
      </c>
      <c r="G22" s="113">
        <v>6.9</v>
      </c>
      <c r="H22" s="113">
        <v>29.9</v>
      </c>
      <c r="I22" s="113">
        <v>331.3</v>
      </c>
      <c r="J22" s="113">
        <v>23.6</v>
      </c>
      <c r="K22" s="113">
        <v>78.9</v>
      </c>
      <c r="L22" s="113">
        <v>160.8</v>
      </c>
      <c r="M22" s="113">
        <v>149.3</v>
      </c>
      <c r="N22" s="113">
        <v>92.9</v>
      </c>
      <c r="O22" s="113">
        <v>26.8</v>
      </c>
      <c r="P22" s="127">
        <v>14</v>
      </c>
      <c r="Q22" s="127">
        <v>13.4</v>
      </c>
      <c r="R22" s="127">
        <v>13.2</v>
      </c>
      <c r="S22" s="127">
        <v>13.53</v>
      </c>
      <c r="T22" s="113">
        <v>676.67</v>
      </c>
      <c r="U22" s="138">
        <f>100*(T22-628.33)/628.33</f>
        <v>7.69340951410882</v>
      </c>
      <c r="V22" s="139">
        <v>3</v>
      </c>
      <c r="W22" s="335"/>
    </row>
    <row r="23" spans="1:23" ht="13.5">
      <c r="A23" s="310"/>
      <c r="B23" s="310"/>
      <c r="C23" s="352"/>
      <c r="D23" s="115" t="s">
        <v>30</v>
      </c>
      <c r="E23" s="116">
        <f aca="true" t="shared" si="1" ref="E23:T23">AVERAGE(E13:E22)</f>
        <v>100.03</v>
      </c>
      <c r="F23" s="116">
        <f t="shared" si="1"/>
        <v>148.5</v>
      </c>
      <c r="G23" s="116">
        <f t="shared" si="1"/>
        <v>7.923</v>
      </c>
      <c r="H23" s="116">
        <f t="shared" si="1"/>
        <v>33.583</v>
      </c>
      <c r="I23" s="116">
        <f t="shared" si="1"/>
        <v>362.061</v>
      </c>
      <c r="J23" s="116">
        <f t="shared" si="1"/>
        <v>23.166</v>
      </c>
      <c r="K23" s="116">
        <f t="shared" si="1"/>
        <v>69.889</v>
      </c>
      <c r="L23" s="116">
        <f t="shared" si="1"/>
        <v>136.735</v>
      </c>
      <c r="M23" s="116">
        <f t="shared" si="1"/>
        <v>125.485</v>
      </c>
      <c r="N23" s="116">
        <f t="shared" si="1"/>
        <v>91.8865130260521</v>
      </c>
      <c r="O23" s="116">
        <f t="shared" si="1"/>
        <v>26.302</v>
      </c>
      <c r="P23" s="130">
        <f t="shared" si="1"/>
        <v>12.9936</v>
      </c>
      <c r="Q23" s="130">
        <f t="shared" si="1"/>
        <v>13.1132</v>
      </c>
      <c r="R23" s="130">
        <f t="shared" si="1"/>
        <v>13.0564</v>
      </c>
      <c r="S23" s="130">
        <f t="shared" si="1"/>
        <v>13.0501</v>
      </c>
      <c r="T23" s="116">
        <f t="shared" si="1"/>
        <v>652.579</v>
      </c>
      <c r="U23" s="141">
        <f>100*(T23-623.679)/623.679</f>
        <v>4.63379398697086</v>
      </c>
      <c r="V23" s="142">
        <v>3</v>
      </c>
      <c r="W23" s="335"/>
    </row>
    <row r="24" spans="1:23" ht="14.25">
      <c r="A24" s="310" t="s">
        <v>51</v>
      </c>
      <c r="B24" s="310"/>
      <c r="C24" s="331" t="s">
        <v>161</v>
      </c>
      <c r="D24" s="117" t="s">
        <v>162</v>
      </c>
      <c r="E24" s="118">
        <v>95</v>
      </c>
      <c r="F24" s="118">
        <v>132</v>
      </c>
      <c r="G24" s="118">
        <v>7.7</v>
      </c>
      <c r="H24" s="118">
        <v>35.7</v>
      </c>
      <c r="I24" s="118">
        <v>366.7</v>
      </c>
      <c r="J24" s="118">
        <v>21.8</v>
      </c>
      <c r="K24" s="118">
        <v>61</v>
      </c>
      <c r="L24" s="118">
        <v>170</v>
      </c>
      <c r="M24" s="118">
        <v>153.3</v>
      </c>
      <c r="N24" s="118">
        <v>90.2</v>
      </c>
      <c r="O24" s="118">
        <v>25.4</v>
      </c>
      <c r="P24" s="131">
        <v>186.4</v>
      </c>
      <c r="Q24" s="131">
        <v>184.3</v>
      </c>
      <c r="R24" s="131">
        <v>185.4</v>
      </c>
      <c r="S24" s="118">
        <v>687</v>
      </c>
      <c r="T24" s="131">
        <f>100*(S24-635.8)/635.8</f>
        <v>8.05284680717207</v>
      </c>
      <c r="U24" s="143">
        <v>1</v>
      </c>
      <c r="V24" s="137"/>
      <c r="W24" s="335"/>
    </row>
    <row r="25" spans="1:23" ht="14.25">
      <c r="A25" s="310"/>
      <c r="B25" s="310"/>
      <c r="C25" s="332"/>
      <c r="D25" s="117" t="s">
        <v>117</v>
      </c>
      <c r="E25" s="118">
        <v>94</v>
      </c>
      <c r="F25" s="118">
        <v>151</v>
      </c>
      <c r="G25" s="118">
        <v>7.6</v>
      </c>
      <c r="H25" s="118">
        <v>26.7</v>
      </c>
      <c r="I25" s="118">
        <v>251</v>
      </c>
      <c r="J25" s="118">
        <v>18.4</v>
      </c>
      <c r="K25" s="118">
        <v>68.9</v>
      </c>
      <c r="L25" s="118">
        <v>134</v>
      </c>
      <c r="M25" s="118">
        <v>128</v>
      </c>
      <c r="N25" s="118">
        <v>95.5</v>
      </c>
      <c r="O25" s="118">
        <v>28.1</v>
      </c>
      <c r="P25" s="131">
        <v>165.4</v>
      </c>
      <c r="Q25" s="131">
        <v>159.7</v>
      </c>
      <c r="R25" s="131">
        <f>AVERAGE(P25:Q25)</f>
        <v>162.55</v>
      </c>
      <c r="S25" s="118">
        <v>650.2</v>
      </c>
      <c r="T25" s="131">
        <v>6.77</v>
      </c>
      <c r="U25" s="143">
        <v>1</v>
      </c>
      <c r="V25" s="137"/>
      <c r="W25" s="335"/>
    </row>
    <row r="26" spans="1:23" ht="14.25">
      <c r="A26" s="310"/>
      <c r="B26" s="310"/>
      <c r="C26" s="332"/>
      <c r="D26" s="117" t="s">
        <v>121</v>
      </c>
      <c r="E26" s="118">
        <v>90.6</v>
      </c>
      <c r="F26" s="118">
        <v>140</v>
      </c>
      <c r="G26" s="118">
        <v>7.7</v>
      </c>
      <c r="H26" s="118">
        <v>36.5</v>
      </c>
      <c r="I26" s="118">
        <v>374</v>
      </c>
      <c r="J26" s="118">
        <v>23.5</v>
      </c>
      <c r="K26" s="118">
        <v>64.4</v>
      </c>
      <c r="L26" s="118">
        <v>129.9</v>
      </c>
      <c r="M26" s="118">
        <v>128.6</v>
      </c>
      <c r="N26" s="118">
        <v>99</v>
      </c>
      <c r="O26" s="118">
        <v>26.24</v>
      </c>
      <c r="P26" s="131">
        <v>198.28</v>
      </c>
      <c r="Q26" s="131">
        <v>217.8</v>
      </c>
      <c r="R26" s="131">
        <v>208.04</v>
      </c>
      <c r="S26" s="118">
        <v>770.9</v>
      </c>
      <c r="T26" s="131">
        <v>4.16</v>
      </c>
      <c r="U26" s="143">
        <v>2</v>
      </c>
      <c r="V26" s="137"/>
      <c r="W26" s="335"/>
    </row>
    <row r="27" spans="1:23" ht="14.25">
      <c r="A27" s="310"/>
      <c r="B27" s="310"/>
      <c r="C27" s="332"/>
      <c r="D27" s="117" t="s">
        <v>163</v>
      </c>
      <c r="E27" s="118">
        <v>105</v>
      </c>
      <c r="F27" s="118">
        <v>153</v>
      </c>
      <c r="G27" s="118">
        <v>9.69</v>
      </c>
      <c r="H27" s="118">
        <v>31.15</v>
      </c>
      <c r="I27" s="118">
        <v>321.47</v>
      </c>
      <c r="J27" s="118">
        <v>21.94</v>
      </c>
      <c r="K27" s="118">
        <v>70.43</v>
      </c>
      <c r="L27" s="118">
        <v>144.2</v>
      </c>
      <c r="M27" s="118">
        <v>135.7</v>
      </c>
      <c r="N27" s="118">
        <v>94.1</v>
      </c>
      <c r="O27" s="118">
        <v>26.66</v>
      </c>
      <c r="P27" s="131">
        <v>248.45</v>
      </c>
      <c r="Q27" s="131">
        <v>254.39</v>
      </c>
      <c r="R27" s="131">
        <v>251.42</v>
      </c>
      <c r="S27" s="118">
        <v>775.99</v>
      </c>
      <c r="T27" s="131">
        <v>5.09</v>
      </c>
      <c r="U27" s="143">
        <v>2</v>
      </c>
      <c r="V27" s="137"/>
      <c r="W27" s="335"/>
    </row>
    <row r="28" spans="1:23" ht="14.25">
      <c r="A28" s="310"/>
      <c r="B28" s="310"/>
      <c r="C28" s="332"/>
      <c r="D28" s="117" t="s">
        <v>124</v>
      </c>
      <c r="E28" s="118">
        <v>87.8</v>
      </c>
      <c r="F28" s="118">
        <v>149</v>
      </c>
      <c r="G28" s="118">
        <v>6.4</v>
      </c>
      <c r="H28" s="118">
        <v>31.9</v>
      </c>
      <c r="I28" s="118">
        <v>398.4</v>
      </c>
      <c r="J28" s="118">
        <v>22.59</v>
      </c>
      <c r="K28" s="118">
        <v>70.8</v>
      </c>
      <c r="L28" s="118">
        <v>104.2</v>
      </c>
      <c r="M28" s="118">
        <v>109.6</v>
      </c>
      <c r="N28" s="118">
        <v>95.1</v>
      </c>
      <c r="O28" s="118">
        <v>29.5</v>
      </c>
      <c r="P28" s="131">
        <v>164.3</v>
      </c>
      <c r="Q28" s="131">
        <v>163.4</v>
      </c>
      <c r="R28" s="131">
        <v>163.83</v>
      </c>
      <c r="S28" s="118">
        <v>606.8</v>
      </c>
      <c r="T28" s="131">
        <f>100*(S28-590.6)/590.6</f>
        <v>2.74297324754486</v>
      </c>
      <c r="U28" s="143">
        <v>3</v>
      </c>
      <c r="V28" s="137"/>
      <c r="W28" s="335"/>
    </row>
    <row r="29" spans="1:23" ht="14.25">
      <c r="A29" s="310"/>
      <c r="B29" s="310"/>
      <c r="C29" s="332"/>
      <c r="D29" s="117" t="s">
        <v>164</v>
      </c>
      <c r="E29" s="118">
        <v>94</v>
      </c>
      <c r="F29" s="118">
        <v>151</v>
      </c>
      <c r="G29" s="118">
        <v>8.8</v>
      </c>
      <c r="H29" s="118">
        <v>36.6</v>
      </c>
      <c r="I29" s="118">
        <v>315.9</v>
      </c>
      <c r="J29" s="118">
        <v>24.3</v>
      </c>
      <c r="K29" s="118">
        <v>66.4</v>
      </c>
      <c r="L29" s="118">
        <v>133.7</v>
      </c>
      <c r="M29" s="118">
        <v>130.1</v>
      </c>
      <c r="N29" s="118">
        <v>97.3</v>
      </c>
      <c r="O29" s="118">
        <v>26.6</v>
      </c>
      <c r="P29" s="131">
        <v>190.39</v>
      </c>
      <c r="Q29" s="131">
        <v>188.13</v>
      </c>
      <c r="R29" s="131">
        <v>189.26</v>
      </c>
      <c r="S29" s="118">
        <v>841.16</v>
      </c>
      <c r="T29" s="131">
        <v>7.1</v>
      </c>
      <c r="U29" s="143">
        <v>1</v>
      </c>
      <c r="V29" s="137"/>
      <c r="W29" s="335"/>
    </row>
    <row r="30" spans="1:23" ht="14.25">
      <c r="A30" s="310"/>
      <c r="B30" s="310"/>
      <c r="C30" s="332"/>
      <c r="D30" s="119" t="s">
        <v>30</v>
      </c>
      <c r="E30" s="120">
        <f aca="true" t="shared" si="2" ref="E30:S30">AVERAGE(E24:E29)</f>
        <v>94.4</v>
      </c>
      <c r="F30" s="120">
        <f t="shared" si="2"/>
        <v>146</v>
      </c>
      <c r="G30" s="120">
        <f t="shared" si="2"/>
        <v>7.98166666666667</v>
      </c>
      <c r="H30" s="120">
        <f t="shared" si="2"/>
        <v>33.0916666666667</v>
      </c>
      <c r="I30" s="120">
        <f t="shared" si="2"/>
        <v>337.911666666667</v>
      </c>
      <c r="J30" s="120">
        <f t="shared" si="2"/>
        <v>22.0883333333333</v>
      </c>
      <c r="K30" s="120">
        <f t="shared" si="2"/>
        <v>66.9883333333333</v>
      </c>
      <c r="L30" s="120">
        <f t="shared" si="2"/>
        <v>136</v>
      </c>
      <c r="M30" s="120">
        <f t="shared" si="2"/>
        <v>130.883333333333</v>
      </c>
      <c r="N30" s="120">
        <f t="shared" si="2"/>
        <v>95.2</v>
      </c>
      <c r="O30" s="120">
        <f t="shared" si="2"/>
        <v>27.0833333333333</v>
      </c>
      <c r="P30" s="132">
        <f t="shared" si="2"/>
        <v>192.203333333333</v>
      </c>
      <c r="Q30" s="132">
        <f t="shared" si="2"/>
        <v>194.62</v>
      </c>
      <c r="R30" s="132">
        <f t="shared" si="2"/>
        <v>193.416666666667</v>
      </c>
      <c r="S30" s="120">
        <f t="shared" si="2"/>
        <v>722.008333333333</v>
      </c>
      <c r="T30" s="132">
        <f>100*(S30-683.22)/683.22</f>
        <v>5.67728306158094</v>
      </c>
      <c r="U30" s="144">
        <v>3</v>
      </c>
      <c r="V30" s="137"/>
      <c r="W30" s="335"/>
    </row>
    <row r="31" spans="1:23" ht="15">
      <c r="A31" s="325" t="s">
        <v>34</v>
      </c>
      <c r="B31" s="310" t="s">
        <v>165</v>
      </c>
      <c r="C31" s="349" t="s">
        <v>166</v>
      </c>
      <c r="D31" s="103" t="s">
        <v>110</v>
      </c>
      <c r="E31" s="104">
        <v>96</v>
      </c>
      <c r="F31" s="104">
        <v>142</v>
      </c>
      <c r="G31" s="105">
        <v>7.5</v>
      </c>
      <c r="H31" s="105">
        <v>32.8</v>
      </c>
      <c r="I31" s="122">
        <v>337</v>
      </c>
      <c r="J31" s="105">
        <v>20.5</v>
      </c>
      <c r="K31" s="105">
        <v>62.5</v>
      </c>
      <c r="L31" s="104">
        <v>122</v>
      </c>
      <c r="M31" s="102">
        <v>112</v>
      </c>
      <c r="N31" s="123">
        <v>91.8</v>
      </c>
      <c r="O31" s="123">
        <v>27.5</v>
      </c>
      <c r="P31" s="106">
        <v>12.04</v>
      </c>
      <c r="Q31" s="106">
        <v>12.22</v>
      </c>
      <c r="R31" s="106">
        <v>11.64</v>
      </c>
      <c r="S31" s="106">
        <v>11.97</v>
      </c>
      <c r="T31" s="106">
        <v>598.5</v>
      </c>
      <c r="U31" s="133">
        <v>6.49466192170819</v>
      </c>
      <c r="V31" s="101">
        <v>6</v>
      </c>
      <c r="W31" s="335"/>
    </row>
    <row r="32" spans="1:23" ht="15">
      <c r="A32" s="310"/>
      <c r="B32" s="310"/>
      <c r="C32" s="350"/>
      <c r="D32" s="103" t="s">
        <v>149</v>
      </c>
      <c r="E32" s="102">
        <v>90.5</v>
      </c>
      <c r="F32" s="102">
        <v>150</v>
      </c>
      <c r="G32" s="106">
        <v>7.1</v>
      </c>
      <c r="H32" s="106">
        <v>34.5</v>
      </c>
      <c r="I32" s="123">
        <v>385.9</v>
      </c>
      <c r="J32" s="106">
        <v>23.08</v>
      </c>
      <c r="K32" s="106">
        <v>66.9</v>
      </c>
      <c r="L32" s="102">
        <v>111.1</v>
      </c>
      <c r="M32" s="102">
        <v>108.1</v>
      </c>
      <c r="N32" s="123">
        <v>97.3</v>
      </c>
      <c r="O32" s="123">
        <v>28.2</v>
      </c>
      <c r="P32" s="106">
        <v>13.4</v>
      </c>
      <c r="Q32" s="106">
        <v>13.4</v>
      </c>
      <c r="R32" s="106">
        <v>13.5</v>
      </c>
      <c r="S32" s="106">
        <v>13.4</v>
      </c>
      <c r="T32" s="106">
        <v>670</v>
      </c>
      <c r="U32" s="134">
        <v>7.2</v>
      </c>
      <c r="V32" s="101">
        <v>6</v>
      </c>
      <c r="W32" s="335"/>
    </row>
    <row r="33" spans="1:23" ht="15">
      <c r="A33" s="310"/>
      <c r="B33" s="310"/>
      <c r="C33" s="350"/>
      <c r="D33" s="103" t="s">
        <v>150</v>
      </c>
      <c r="E33" s="102">
        <v>83</v>
      </c>
      <c r="F33" s="102">
        <v>149</v>
      </c>
      <c r="G33" s="106">
        <v>10.08</v>
      </c>
      <c r="H33" s="106">
        <v>31.92</v>
      </c>
      <c r="I33" s="102">
        <f>(H33-G33)/G33*100</f>
        <v>216.666666666667</v>
      </c>
      <c r="J33" s="106">
        <v>22.17</v>
      </c>
      <c r="K33" s="106">
        <v>69.45</v>
      </c>
      <c r="L33" s="102">
        <v>124.37</v>
      </c>
      <c r="M33" s="104">
        <v>112.56</v>
      </c>
      <c r="N33" s="123">
        <v>90.5</v>
      </c>
      <c r="O33" s="123">
        <v>29.8</v>
      </c>
      <c r="P33" s="105">
        <v>14</v>
      </c>
      <c r="Q33" s="105">
        <v>13.65</v>
      </c>
      <c r="R33" s="105">
        <v>13.75</v>
      </c>
      <c r="S33" s="105">
        <v>13.8</v>
      </c>
      <c r="T33" s="105">
        <v>690</v>
      </c>
      <c r="U33" s="134">
        <v>7.39299610894942</v>
      </c>
      <c r="V33" s="135">
        <v>6</v>
      </c>
      <c r="W33" s="335"/>
    </row>
    <row r="34" spans="1:23" ht="15">
      <c r="A34" s="310"/>
      <c r="B34" s="310"/>
      <c r="C34" s="350"/>
      <c r="D34" s="103" t="s">
        <v>151</v>
      </c>
      <c r="E34" s="104">
        <v>92</v>
      </c>
      <c r="F34" s="104">
        <v>144</v>
      </c>
      <c r="G34" s="105">
        <v>8.1</v>
      </c>
      <c r="H34" s="105">
        <v>33.8</v>
      </c>
      <c r="I34" s="122">
        <v>317.28</v>
      </c>
      <c r="J34" s="105">
        <v>22.4</v>
      </c>
      <c r="K34" s="105">
        <v>66.27</v>
      </c>
      <c r="L34" s="102">
        <v>129.3</v>
      </c>
      <c r="M34" s="102">
        <v>123.8</v>
      </c>
      <c r="N34" s="123">
        <v>95.74</v>
      </c>
      <c r="O34" s="123">
        <v>29.17</v>
      </c>
      <c r="P34" s="106">
        <v>15.85</v>
      </c>
      <c r="Q34" s="106">
        <v>15</v>
      </c>
      <c r="R34" s="106">
        <v>15.11</v>
      </c>
      <c r="S34" s="106">
        <v>15.33</v>
      </c>
      <c r="T34" s="106">
        <v>766.5</v>
      </c>
      <c r="U34" s="134">
        <v>14.7455089820359</v>
      </c>
      <c r="V34" s="101">
        <v>1</v>
      </c>
      <c r="W34" s="335"/>
    </row>
    <row r="35" spans="1:23" ht="15">
      <c r="A35" s="310"/>
      <c r="B35" s="310"/>
      <c r="C35" s="350"/>
      <c r="D35" s="103" t="s">
        <v>111</v>
      </c>
      <c r="E35" s="102">
        <v>90.5</v>
      </c>
      <c r="F35" s="102">
        <v>141</v>
      </c>
      <c r="G35" s="106">
        <v>5.1</v>
      </c>
      <c r="H35" s="106">
        <v>37.8</v>
      </c>
      <c r="I35" s="123">
        <v>641.18</v>
      </c>
      <c r="J35" s="106">
        <v>22.7</v>
      </c>
      <c r="K35" s="106">
        <v>60.1</v>
      </c>
      <c r="L35" s="102">
        <v>111</v>
      </c>
      <c r="M35" s="102">
        <v>107.5</v>
      </c>
      <c r="N35" s="123">
        <v>96.8</v>
      </c>
      <c r="O35" s="123">
        <v>29.52</v>
      </c>
      <c r="P35" s="106">
        <v>12.64</v>
      </c>
      <c r="Q35" s="106">
        <v>13.13</v>
      </c>
      <c r="R35" s="106">
        <v>13.08</v>
      </c>
      <c r="S35" s="106">
        <v>12.95</v>
      </c>
      <c r="T35" s="106">
        <v>647.5</v>
      </c>
      <c r="U35" s="133">
        <v>1.80817610062892</v>
      </c>
      <c r="V35" s="101">
        <v>5</v>
      </c>
      <c r="W35" s="335"/>
    </row>
    <row r="36" spans="1:23" ht="15">
      <c r="A36" s="310"/>
      <c r="B36" s="310"/>
      <c r="C36" s="350"/>
      <c r="D36" s="103" t="s">
        <v>116</v>
      </c>
      <c r="E36" s="104">
        <v>78</v>
      </c>
      <c r="F36" s="104">
        <v>150</v>
      </c>
      <c r="G36" s="106">
        <v>7</v>
      </c>
      <c r="H36" s="106">
        <v>32.5</v>
      </c>
      <c r="I36" s="123">
        <v>364.3</v>
      </c>
      <c r="J36" s="106">
        <v>19.6</v>
      </c>
      <c r="K36" s="106">
        <v>60.3</v>
      </c>
      <c r="L36" s="104">
        <v>131.4</v>
      </c>
      <c r="M36" s="104">
        <v>120.6</v>
      </c>
      <c r="N36" s="122">
        <v>91.8</v>
      </c>
      <c r="O36" s="122">
        <v>27.1</v>
      </c>
      <c r="P36" s="106">
        <v>11.15</v>
      </c>
      <c r="Q36" s="106">
        <v>11.4</v>
      </c>
      <c r="R36" s="106">
        <v>11.5</v>
      </c>
      <c r="S36" s="106">
        <v>11.4</v>
      </c>
      <c r="T36" s="106">
        <v>570</v>
      </c>
      <c r="U36" s="134">
        <v>-3.38983050847458</v>
      </c>
      <c r="V36" s="101">
        <v>8</v>
      </c>
      <c r="W36" s="335"/>
    </row>
    <row r="37" spans="1:23" ht="15">
      <c r="A37" s="310"/>
      <c r="B37" s="310"/>
      <c r="C37" s="350"/>
      <c r="D37" s="103" t="s">
        <v>112</v>
      </c>
      <c r="E37" s="104">
        <v>89.8</v>
      </c>
      <c r="F37" s="104">
        <v>150</v>
      </c>
      <c r="G37" s="105">
        <v>8.82</v>
      </c>
      <c r="H37" s="105">
        <v>33.86</v>
      </c>
      <c r="I37" s="122">
        <v>284</v>
      </c>
      <c r="J37" s="105">
        <v>22.84</v>
      </c>
      <c r="K37" s="105">
        <v>67.45</v>
      </c>
      <c r="L37" s="104">
        <v>125.93</v>
      </c>
      <c r="M37" s="104">
        <v>116.27</v>
      </c>
      <c r="N37" s="122">
        <v>92.33</v>
      </c>
      <c r="O37" s="122">
        <v>27.2</v>
      </c>
      <c r="P37" s="105">
        <v>14.6</v>
      </c>
      <c r="Q37" s="105">
        <v>14.19</v>
      </c>
      <c r="R37" s="105">
        <v>14.38</v>
      </c>
      <c r="S37" s="105">
        <v>14.39</v>
      </c>
      <c r="T37" s="105">
        <v>719.5</v>
      </c>
      <c r="U37" s="134">
        <v>3.2059097755146</v>
      </c>
      <c r="V37" s="135">
        <v>6</v>
      </c>
      <c r="W37" s="335"/>
    </row>
    <row r="38" spans="1:23" ht="15">
      <c r="A38" s="310"/>
      <c r="B38" s="310"/>
      <c r="C38" s="350"/>
      <c r="D38" s="103" t="s">
        <v>152</v>
      </c>
      <c r="E38" s="104">
        <v>92</v>
      </c>
      <c r="F38" s="104">
        <v>150</v>
      </c>
      <c r="G38" s="105">
        <v>6.4</v>
      </c>
      <c r="H38" s="106">
        <v>25.8</v>
      </c>
      <c r="I38" s="122">
        <v>403.13</v>
      </c>
      <c r="J38" s="124">
        <v>18.9</v>
      </c>
      <c r="K38" s="105">
        <v>73.26</v>
      </c>
      <c r="L38" s="104">
        <v>125.7</v>
      </c>
      <c r="M38" s="104">
        <v>113.6</v>
      </c>
      <c r="N38" s="125">
        <v>90.37</v>
      </c>
      <c r="O38" s="122">
        <v>29.64</v>
      </c>
      <c r="P38" s="124">
        <v>12.41</v>
      </c>
      <c r="Q38" s="124">
        <v>12.41</v>
      </c>
      <c r="R38" s="124">
        <v>12.88</v>
      </c>
      <c r="S38" s="124">
        <v>12.57</v>
      </c>
      <c r="T38" s="124">
        <v>628.5</v>
      </c>
      <c r="U38" s="134">
        <v>-6.40357408786299</v>
      </c>
      <c r="V38" s="135">
        <v>10</v>
      </c>
      <c r="W38" s="335"/>
    </row>
    <row r="39" spans="1:23" ht="15">
      <c r="A39" s="310"/>
      <c r="B39" s="310"/>
      <c r="C39" s="350"/>
      <c r="D39" s="103" t="s">
        <v>37</v>
      </c>
      <c r="E39" s="102">
        <v>94</v>
      </c>
      <c r="F39" s="102">
        <v>142</v>
      </c>
      <c r="G39" s="106">
        <v>7.6</v>
      </c>
      <c r="H39" s="106">
        <v>35.4</v>
      </c>
      <c r="I39" s="123">
        <v>365.8</v>
      </c>
      <c r="J39" s="106">
        <v>22.87</v>
      </c>
      <c r="K39" s="106">
        <v>64.6</v>
      </c>
      <c r="L39" s="102">
        <v>104</v>
      </c>
      <c r="M39" s="102">
        <v>100.1</v>
      </c>
      <c r="N39" s="123">
        <v>96.3</v>
      </c>
      <c r="O39" s="123">
        <v>28.3</v>
      </c>
      <c r="P39" s="106">
        <v>14.58</v>
      </c>
      <c r="Q39" s="106">
        <v>14.48</v>
      </c>
      <c r="R39" s="106">
        <v>14.94</v>
      </c>
      <c r="S39" s="106">
        <v>14.67</v>
      </c>
      <c r="T39" s="106">
        <v>733.5</v>
      </c>
      <c r="U39" s="134">
        <v>6.45863570391873</v>
      </c>
      <c r="V39" s="101">
        <v>1</v>
      </c>
      <c r="W39" s="335"/>
    </row>
    <row r="40" spans="1:23" ht="14.25">
      <c r="A40" s="310"/>
      <c r="B40" s="310"/>
      <c r="C40" s="350"/>
      <c r="D40" s="107" t="s">
        <v>30</v>
      </c>
      <c r="E40" s="108">
        <f aca="true" t="shared" si="3" ref="E40:R40">AVERAGE(E31:E39)</f>
        <v>89.5333333333333</v>
      </c>
      <c r="F40" s="108">
        <f t="shared" si="3"/>
        <v>146.444444444444</v>
      </c>
      <c r="G40" s="109">
        <f t="shared" si="3"/>
        <v>7.52222222222222</v>
      </c>
      <c r="H40" s="109">
        <f t="shared" si="3"/>
        <v>33.1533333333333</v>
      </c>
      <c r="I40" s="108">
        <f t="shared" si="3"/>
        <v>368.361851851852</v>
      </c>
      <c r="J40" s="109">
        <f t="shared" si="3"/>
        <v>21.6733333333333</v>
      </c>
      <c r="K40" s="109">
        <f t="shared" si="3"/>
        <v>65.6477777777778</v>
      </c>
      <c r="L40" s="108">
        <f t="shared" si="3"/>
        <v>120.533333333333</v>
      </c>
      <c r="M40" s="108">
        <f t="shared" si="3"/>
        <v>112.725555555556</v>
      </c>
      <c r="N40" s="126">
        <f t="shared" si="3"/>
        <v>93.66</v>
      </c>
      <c r="O40" s="126">
        <f t="shared" si="3"/>
        <v>28.4922222222222</v>
      </c>
      <c r="P40" s="109">
        <f t="shared" si="3"/>
        <v>13.4077777777778</v>
      </c>
      <c r="Q40" s="109">
        <f t="shared" si="3"/>
        <v>13.32</v>
      </c>
      <c r="R40" s="109">
        <f t="shared" si="3"/>
        <v>13.42</v>
      </c>
      <c r="S40" s="136">
        <v>13.3825925925926</v>
      </c>
      <c r="T40" s="136">
        <v>669.12962962963</v>
      </c>
      <c r="U40" s="136">
        <v>4.183726428695</v>
      </c>
      <c r="V40" s="137">
        <v>5</v>
      </c>
      <c r="W40" s="335"/>
    </row>
    <row r="41" spans="1:23" ht="13.5">
      <c r="A41" s="325" t="s">
        <v>47</v>
      </c>
      <c r="B41" s="310"/>
      <c r="C41" s="351" t="s">
        <v>167</v>
      </c>
      <c r="D41" s="111" t="s">
        <v>100</v>
      </c>
      <c r="E41" s="112">
        <v>99</v>
      </c>
      <c r="F41" s="112">
        <v>146</v>
      </c>
      <c r="G41" s="112">
        <v>6.7</v>
      </c>
      <c r="H41" s="112">
        <v>32.8</v>
      </c>
      <c r="I41" s="112">
        <v>389</v>
      </c>
      <c r="J41" s="112">
        <v>21.4</v>
      </c>
      <c r="K41" s="112">
        <v>65.2</v>
      </c>
      <c r="L41" s="113">
        <v>121</v>
      </c>
      <c r="M41" s="113">
        <v>112</v>
      </c>
      <c r="N41" s="113">
        <v>92.6</v>
      </c>
      <c r="O41" s="113">
        <v>23.6</v>
      </c>
      <c r="P41" s="127">
        <v>11.11</v>
      </c>
      <c r="Q41" s="127">
        <v>10.97</v>
      </c>
      <c r="R41" s="127">
        <v>10.51</v>
      </c>
      <c r="S41" s="127">
        <v>10.86</v>
      </c>
      <c r="T41" s="113">
        <v>543.2</v>
      </c>
      <c r="U41" s="138">
        <f>100*(T41-530.2)/530.2</f>
        <v>2.4519049415315</v>
      </c>
      <c r="V41" s="139">
        <v>11</v>
      </c>
      <c r="W41" s="335"/>
    </row>
    <row r="42" spans="1:23" ht="13.5">
      <c r="A42" s="310"/>
      <c r="B42" s="310"/>
      <c r="C42" s="352"/>
      <c r="D42" s="111" t="s">
        <v>154</v>
      </c>
      <c r="E42" s="113">
        <v>97</v>
      </c>
      <c r="F42" s="113">
        <v>154</v>
      </c>
      <c r="G42" s="113">
        <v>9.1</v>
      </c>
      <c r="H42" s="113">
        <v>35.7</v>
      </c>
      <c r="I42" s="113">
        <v>392.3</v>
      </c>
      <c r="J42" s="113">
        <v>23.8</v>
      </c>
      <c r="K42" s="113">
        <v>66.7</v>
      </c>
      <c r="L42" s="113">
        <v>136.2</v>
      </c>
      <c r="M42" s="112">
        <v>124.2</v>
      </c>
      <c r="N42" s="113">
        <v>91.2</v>
      </c>
      <c r="O42" s="113">
        <v>27.3</v>
      </c>
      <c r="P42" s="128">
        <v>14.05</v>
      </c>
      <c r="Q42" s="128">
        <v>14.2</v>
      </c>
      <c r="R42" s="128">
        <v>14.2</v>
      </c>
      <c r="S42" s="128">
        <v>14.15</v>
      </c>
      <c r="T42" s="112">
        <v>707.5</v>
      </c>
      <c r="U42" s="138">
        <f>100*(T42-665.83)/665.83</f>
        <v>6.25835423456437</v>
      </c>
      <c r="V42" s="140">
        <v>3</v>
      </c>
      <c r="W42" s="335"/>
    </row>
    <row r="43" spans="1:23" ht="13.5">
      <c r="A43" s="310"/>
      <c r="B43" s="310"/>
      <c r="C43" s="352"/>
      <c r="D43" s="111" t="s">
        <v>155</v>
      </c>
      <c r="E43" s="113">
        <v>97.8</v>
      </c>
      <c r="F43" s="113">
        <v>151</v>
      </c>
      <c r="G43" s="113">
        <v>8.9</v>
      </c>
      <c r="H43" s="113">
        <v>39.6</v>
      </c>
      <c r="I43" s="113">
        <v>344.9</v>
      </c>
      <c r="J43" s="113">
        <v>25.5</v>
      </c>
      <c r="K43" s="113">
        <v>64.5</v>
      </c>
      <c r="L43" s="113">
        <v>121.3</v>
      </c>
      <c r="M43" s="113">
        <v>116.2</v>
      </c>
      <c r="N43" s="113">
        <v>95.8</v>
      </c>
      <c r="O43" s="113">
        <v>27.64</v>
      </c>
      <c r="P43" s="127">
        <v>13.84</v>
      </c>
      <c r="Q43" s="127">
        <v>13.44</v>
      </c>
      <c r="R43" s="127">
        <v>13.66</v>
      </c>
      <c r="S43" s="127">
        <v>13.65</v>
      </c>
      <c r="T43" s="110">
        <v>682.3</v>
      </c>
      <c r="U43" s="138">
        <f>100*(T43-637)/637</f>
        <v>7.11145996860282</v>
      </c>
      <c r="V43" s="110">
        <v>5</v>
      </c>
      <c r="W43" s="335"/>
    </row>
    <row r="44" spans="1:23" ht="13.5">
      <c r="A44" s="310"/>
      <c r="B44" s="310"/>
      <c r="C44" s="352"/>
      <c r="D44" s="111" t="s">
        <v>156</v>
      </c>
      <c r="E44" s="112">
        <v>105</v>
      </c>
      <c r="F44" s="112">
        <v>152</v>
      </c>
      <c r="G44" s="112">
        <v>7.6</v>
      </c>
      <c r="H44" s="112">
        <v>39.1</v>
      </c>
      <c r="I44" s="112">
        <v>414.47</v>
      </c>
      <c r="J44" s="112">
        <v>25.2</v>
      </c>
      <c r="K44" s="112">
        <v>64.45</v>
      </c>
      <c r="L44" s="113">
        <v>126.4</v>
      </c>
      <c r="M44" s="113">
        <v>124</v>
      </c>
      <c r="N44" s="113">
        <v>98.1</v>
      </c>
      <c r="O44" s="113">
        <v>24.7</v>
      </c>
      <c r="P44" s="127">
        <v>12.65</v>
      </c>
      <c r="Q44" s="127">
        <v>13</v>
      </c>
      <c r="R44" s="127">
        <v>12.75</v>
      </c>
      <c r="S44" s="127">
        <v>12.8</v>
      </c>
      <c r="T44" s="113">
        <v>640</v>
      </c>
      <c r="U44" s="138">
        <f>100*(T44-620)/620</f>
        <v>3.2258064516129</v>
      </c>
      <c r="V44" s="139">
        <v>5</v>
      </c>
      <c r="W44" s="335"/>
    </row>
    <row r="45" spans="1:23" ht="13.5">
      <c r="A45" s="310"/>
      <c r="B45" s="310"/>
      <c r="C45" s="352"/>
      <c r="D45" s="111" t="s">
        <v>157</v>
      </c>
      <c r="E45" s="112">
        <v>92.4</v>
      </c>
      <c r="F45" s="112">
        <v>142</v>
      </c>
      <c r="G45" s="113">
        <v>6.8</v>
      </c>
      <c r="H45" s="113">
        <v>29.8</v>
      </c>
      <c r="I45" s="113">
        <v>338.2</v>
      </c>
      <c r="J45" s="113">
        <v>18.8</v>
      </c>
      <c r="K45" s="113">
        <v>63.1</v>
      </c>
      <c r="L45" s="113">
        <v>142.4</v>
      </c>
      <c r="M45" s="113">
        <v>125.2</v>
      </c>
      <c r="N45" s="113">
        <f>100*M45/L45</f>
        <v>87.9213483146067</v>
      </c>
      <c r="O45" s="113">
        <v>27.2</v>
      </c>
      <c r="P45" s="127">
        <v>11.7</v>
      </c>
      <c r="Q45" s="127">
        <v>11</v>
      </c>
      <c r="R45" s="127">
        <v>11.5</v>
      </c>
      <c r="S45" s="127">
        <v>11.4</v>
      </c>
      <c r="T45" s="113">
        <v>569.3</v>
      </c>
      <c r="U45" s="138">
        <f>100*(T45-554.4)/554.4</f>
        <v>2.68759018759018</v>
      </c>
      <c r="V45" s="139">
        <v>5</v>
      </c>
      <c r="W45" s="335"/>
    </row>
    <row r="46" spans="1:23" ht="13.5">
      <c r="A46" s="310"/>
      <c r="B46" s="310"/>
      <c r="C46" s="352"/>
      <c r="D46" s="111" t="s">
        <v>102</v>
      </c>
      <c r="E46" s="112">
        <v>95</v>
      </c>
      <c r="F46" s="112">
        <v>158</v>
      </c>
      <c r="G46" s="112">
        <v>8.88</v>
      </c>
      <c r="H46" s="112">
        <v>39.49</v>
      </c>
      <c r="I46" s="112">
        <v>345</v>
      </c>
      <c r="J46" s="112">
        <v>25.27</v>
      </c>
      <c r="K46" s="112">
        <v>63.99</v>
      </c>
      <c r="L46" s="112">
        <v>120.86</v>
      </c>
      <c r="M46" s="112">
        <v>104.47</v>
      </c>
      <c r="N46" s="112">
        <v>86.44</v>
      </c>
      <c r="O46" s="112">
        <v>26.7</v>
      </c>
      <c r="P46" s="128">
        <v>14.5</v>
      </c>
      <c r="Q46" s="128">
        <v>14.5</v>
      </c>
      <c r="R46" s="128">
        <v>15.05</v>
      </c>
      <c r="S46" s="128">
        <v>14.683</v>
      </c>
      <c r="T46" s="112">
        <v>734.15</v>
      </c>
      <c r="U46" s="138">
        <f>100*(T46-718.35)/718.35</f>
        <v>2.19948493074406</v>
      </c>
      <c r="V46" s="140">
        <v>8</v>
      </c>
      <c r="W46" s="335"/>
    </row>
    <row r="47" spans="1:23" ht="13.5">
      <c r="A47" s="310"/>
      <c r="B47" s="310"/>
      <c r="C47" s="352"/>
      <c r="D47" s="111" t="s">
        <v>158</v>
      </c>
      <c r="E47" s="113">
        <v>99</v>
      </c>
      <c r="F47" s="113">
        <v>150</v>
      </c>
      <c r="G47" s="113">
        <v>5.9</v>
      </c>
      <c r="H47" s="114">
        <v>31.1</v>
      </c>
      <c r="I47" s="113">
        <v>478</v>
      </c>
      <c r="J47" s="114">
        <v>17.6</v>
      </c>
      <c r="K47" s="114">
        <v>56.6</v>
      </c>
      <c r="L47" s="114">
        <v>151.1</v>
      </c>
      <c r="M47" s="114">
        <v>143.9</v>
      </c>
      <c r="N47" s="114">
        <v>95.2</v>
      </c>
      <c r="O47" s="114">
        <v>28.98</v>
      </c>
      <c r="P47" s="129">
        <v>12.03</v>
      </c>
      <c r="Q47" s="129">
        <v>12.04</v>
      </c>
      <c r="R47" s="129">
        <v>12.49</v>
      </c>
      <c r="S47" s="129">
        <v>12.19</v>
      </c>
      <c r="T47" s="114">
        <v>609.33</v>
      </c>
      <c r="U47" s="138">
        <f>100*(T47-630)/630</f>
        <v>-3.28095238095237</v>
      </c>
      <c r="V47" s="139">
        <v>14</v>
      </c>
      <c r="W47" s="335"/>
    </row>
    <row r="48" spans="1:23" ht="13.5">
      <c r="A48" s="310"/>
      <c r="B48" s="310"/>
      <c r="C48" s="352"/>
      <c r="D48" s="111" t="s">
        <v>105</v>
      </c>
      <c r="E48" s="113">
        <v>112</v>
      </c>
      <c r="F48" s="113">
        <v>156</v>
      </c>
      <c r="G48" s="113">
        <v>7.2</v>
      </c>
      <c r="H48" s="113">
        <v>34.23</v>
      </c>
      <c r="I48" s="113">
        <v>375.4</v>
      </c>
      <c r="J48" s="113">
        <v>26.8</v>
      </c>
      <c r="K48" s="113">
        <v>78.3</v>
      </c>
      <c r="L48" s="113">
        <v>113.1</v>
      </c>
      <c r="M48" s="113">
        <v>107.1</v>
      </c>
      <c r="N48" s="113">
        <v>94.7</v>
      </c>
      <c r="O48" s="113">
        <v>27</v>
      </c>
      <c r="P48" s="127">
        <v>12.291</v>
      </c>
      <c r="Q48" s="127">
        <v>12.528</v>
      </c>
      <c r="R48" s="127">
        <v>12.722</v>
      </c>
      <c r="S48" s="127">
        <v>12.514</v>
      </c>
      <c r="T48" s="113">
        <v>625.7</v>
      </c>
      <c r="U48" s="138">
        <f>100*(T48-629.35)/629.35</f>
        <v>-0.579963454357667</v>
      </c>
      <c r="V48" s="139">
        <v>10</v>
      </c>
      <c r="W48" s="335"/>
    </row>
    <row r="49" spans="1:23" ht="13.5">
      <c r="A49" s="310"/>
      <c r="B49" s="310"/>
      <c r="C49" s="352"/>
      <c r="D49" s="111" t="s">
        <v>159</v>
      </c>
      <c r="E49" s="112">
        <v>88</v>
      </c>
      <c r="F49" s="112">
        <v>144</v>
      </c>
      <c r="G49" s="112">
        <v>8.8</v>
      </c>
      <c r="H49" s="113">
        <v>27.25</v>
      </c>
      <c r="I49" s="112">
        <v>309.66</v>
      </c>
      <c r="J49" s="113">
        <v>23</v>
      </c>
      <c r="K49" s="113">
        <v>84.4</v>
      </c>
      <c r="L49" s="113">
        <v>127.3</v>
      </c>
      <c r="M49" s="113">
        <v>109.3</v>
      </c>
      <c r="N49" s="113">
        <v>85.86</v>
      </c>
      <c r="O49" s="113">
        <v>25.03</v>
      </c>
      <c r="P49" s="127">
        <v>11.5</v>
      </c>
      <c r="Q49" s="127">
        <v>11.6</v>
      </c>
      <c r="R49" s="127">
        <v>11.6</v>
      </c>
      <c r="S49" s="127">
        <v>11.57</v>
      </c>
      <c r="T49" s="113">
        <v>578.33</v>
      </c>
      <c r="U49" s="138">
        <f>100*(T49-623.33)/623.33</f>
        <v>-7.21928994272697</v>
      </c>
      <c r="V49" s="139">
        <v>14</v>
      </c>
      <c r="W49" s="335"/>
    </row>
    <row r="50" spans="1:23" ht="13.5">
      <c r="A50" s="310"/>
      <c r="B50" s="310"/>
      <c r="C50" s="352"/>
      <c r="D50" s="111" t="s">
        <v>160</v>
      </c>
      <c r="E50" s="113">
        <v>100.5</v>
      </c>
      <c r="F50" s="113">
        <v>141</v>
      </c>
      <c r="G50" s="113">
        <v>7.2</v>
      </c>
      <c r="H50" s="113">
        <v>28.3</v>
      </c>
      <c r="I50" s="113">
        <v>294.9</v>
      </c>
      <c r="J50" s="113">
        <v>22.4</v>
      </c>
      <c r="K50" s="113">
        <v>79.2</v>
      </c>
      <c r="L50" s="113">
        <v>138.6</v>
      </c>
      <c r="M50" s="113">
        <v>127</v>
      </c>
      <c r="N50" s="113">
        <v>91.6</v>
      </c>
      <c r="O50" s="113">
        <v>26.3</v>
      </c>
      <c r="P50" s="127">
        <v>12.9</v>
      </c>
      <c r="Q50" s="127">
        <v>12.8</v>
      </c>
      <c r="R50" s="127">
        <v>12.1</v>
      </c>
      <c r="S50" s="127">
        <v>12.6</v>
      </c>
      <c r="T50" s="113">
        <v>630</v>
      </c>
      <c r="U50" s="138">
        <f>100*(T50-628.33)/628.33</f>
        <v>0.265783903362876</v>
      </c>
      <c r="V50" s="139">
        <v>7</v>
      </c>
      <c r="W50" s="335"/>
    </row>
    <row r="51" spans="1:23" ht="13.5">
      <c r="A51" s="310"/>
      <c r="B51" s="310"/>
      <c r="C51" s="352"/>
      <c r="D51" s="115" t="s">
        <v>30</v>
      </c>
      <c r="E51" s="116">
        <f aca="true" t="shared" si="4" ref="E51:T51">AVERAGE(E41:E50)</f>
        <v>98.57</v>
      </c>
      <c r="F51" s="116">
        <f t="shared" si="4"/>
        <v>149.4</v>
      </c>
      <c r="G51" s="116">
        <f t="shared" si="4"/>
        <v>7.708</v>
      </c>
      <c r="H51" s="116">
        <f t="shared" si="4"/>
        <v>33.737</v>
      </c>
      <c r="I51" s="116">
        <f t="shared" si="4"/>
        <v>368.183</v>
      </c>
      <c r="J51" s="116">
        <f t="shared" si="4"/>
        <v>22.977</v>
      </c>
      <c r="K51" s="116">
        <f t="shared" si="4"/>
        <v>68.644</v>
      </c>
      <c r="L51" s="116">
        <f t="shared" si="4"/>
        <v>129.826</v>
      </c>
      <c r="M51" s="116">
        <f t="shared" si="4"/>
        <v>119.337</v>
      </c>
      <c r="N51" s="116">
        <f t="shared" si="4"/>
        <v>91.9421348314607</v>
      </c>
      <c r="O51" s="116">
        <f t="shared" si="4"/>
        <v>26.445</v>
      </c>
      <c r="P51" s="130">
        <f t="shared" si="4"/>
        <v>12.6571</v>
      </c>
      <c r="Q51" s="130">
        <f t="shared" si="4"/>
        <v>12.6078</v>
      </c>
      <c r="R51" s="130">
        <f t="shared" si="4"/>
        <v>12.6582</v>
      </c>
      <c r="S51" s="130">
        <f t="shared" si="4"/>
        <v>12.6417</v>
      </c>
      <c r="T51" s="116">
        <f t="shared" si="4"/>
        <v>631.981</v>
      </c>
      <c r="U51" s="141">
        <f>100*(T51-623.679)/623.679</f>
        <v>1.33113348373122</v>
      </c>
      <c r="V51" s="142">
        <v>9</v>
      </c>
      <c r="W51" s="335"/>
    </row>
    <row r="52" spans="1:23" ht="13.5">
      <c r="A52" s="325" t="s">
        <v>51</v>
      </c>
      <c r="B52" s="310"/>
      <c r="C52" s="331" t="s">
        <v>168</v>
      </c>
      <c r="D52" s="117" t="s">
        <v>162</v>
      </c>
      <c r="E52" s="118">
        <v>100.2</v>
      </c>
      <c r="F52" s="118">
        <v>136</v>
      </c>
      <c r="G52" s="118">
        <v>7.7</v>
      </c>
      <c r="H52" s="118">
        <v>36.5</v>
      </c>
      <c r="I52" s="118">
        <v>371.4</v>
      </c>
      <c r="J52" s="118">
        <v>24.6</v>
      </c>
      <c r="K52" s="118">
        <v>67.4</v>
      </c>
      <c r="L52" s="118">
        <v>146</v>
      </c>
      <c r="M52" s="118">
        <v>119.4</v>
      </c>
      <c r="N52" s="118">
        <v>81.8</v>
      </c>
      <c r="O52" s="118">
        <v>26.8</v>
      </c>
      <c r="P52" s="131">
        <v>176.2</v>
      </c>
      <c r="Q52" s="131">
        <v>179.8</v>
      </c>
      <c r="R52" s="131">
        <v>178</v>
      </c>
      <c r="S52" s="118">
        <v>659.6</v>
      </c>
      <c r="T52" s="131">
        <f>100*(S52-635.8)/635.8</f>
        <v>3.7433155080214</v>
      </c>
      <c r="U52" s="143">
        <v>4</v>
      </c>
      <c r="V52" s="145"/>
      <c r="W52" s="335"/>
    </row>
    <row r="53" spans="1:23" ht="13.5">
      <c r="A53" s="310"/>
      <c r="B53" s="310"/>
      <c r="C53" s="332"/>
      <c r="D53" s="117" t="s">
        <v>117</v>
      </c>
      <c r="E53" s="118">
        <v>95</v>
      </c>
      <c r="F53" s="118">
        <v>153</v>
      </c>
      <c r="G53" s="118">
        <v>8.1</v>
      </c>
      <c r="H53" s="118">
        <v>28.8</v>
      </c>
      <c r="I53" s="118">
        <v>256</v>
      </c>
      <c r="J53" s="118">
        <v>19.5</v>
      </c>
      <c r="K53" s="118">
        <v>67.7</v>
      </c>
      <c r="L53" s="118">
        <v>128</v>
      </c>
      <c r="M53" s="118">
        <v>117</v>
      </c>
      <c r="N53" s="118">
        <v>91.4</v>
      </c>
      <c r="O53" s="118">
        <v>26.8</v>
      </c>
      <c r="P53" s="131">
        <v>156.3</v>
      </c>
      <c r="Q53" s="131">
        <v>163.9</v>
      </c>
      <c r="R53" s="131">
        <f>AVERAGE(P53:Q53)</f>
        <v>160.1</v>
      </c>
      <c r="S53" s="118">
        <v>640.4</v>
      </c>
      <c r="T53" s="131">
        <v>5.16</v>
      </c>
      <c r="U53" s="143">
        <v>2</v>
      </c>
      <c r="V53" s="145"/>
      <c r="W53" s="335"/>
    </row>
    <row r="54" spans="1:23" ht="13.5">
      <c r="A54" s="310"/>
      <c r="B54" s="310"/>
      <c r="C54" s="332"/>
      <c r="D54" s="117" t="s">
        <v>121</v>
      </c>
      <c r="E54" s="118">
        <v>97.2</v>
      </c>
      <c r="F54" s="118">
        <v>144</v>
      </c>
      <c r="G54" s="118">
        <v>8.4</v>
      </c>
      <c r="H54" s="118">
        <v>37.2</v>
      </c>
      <c r="I54" s="118">
        <v>342.9</v>
      </c>
      <c r="J54" s="118">
        <v>23</v>
      </c>
      <c r="K54" s="118">
        <v>61.8</v>
      </c>
      <c r="L54" s="118">
        <v>117.3</v>
      </c>
      <c r="M54" s="118">
        <v>115.5</v>
      </c>
      <c r="N54" s="118">
        <v>98.5</v>
      </c>
      <c r="O54" s="118">
        <v>27.61</v>
      </c>
      <c r="P54" s="131">
        <v>199.08</v>
      </c>
      <c r="Q54" s="131">
        <v>220.56</v>
      </c>
      <c r="R54" s="131">
        <v>209.82</v>
      </c>
      <c r="S54" s="118">
        <v>777.5</v>
      </c>
      <c r="T54" s="131">
        <v>5.05</v>
      </c>
      <c r="U54" s="143">
        <v>1</v>
      </c>
      <c r="V54" s="145"/>
      <c r="W54" s="335"/>
    </row>
    <row r="55" spans="1:23" ht="13.5">
      <c r="A55" s="310"/>
      <c r="B55" s="310"/>
      <c r="C55" s="332"/>
      <c r="D55" s="117" t="s">
        <v>163</v>
      </c>
      <c r="E55" s="118">
        <v>106</v>
      </c>
      <c r="F55" s="118">
        <v>153</v>
      </c>
      <c r="G55" s="118">
        <v>8.55</v>
      </c>
      <c r="H55" s="118">
        <v>33.45</v>
      </c>
      <c r="I55" s="118">
        <v>391.23</v>
      </c>
      <c r="J55" s="118">
        <v>21.52</v>
      </c>
      <c r="K55" s="118">
        <v>64.33</v>
      </c>
      <c r="L55" s="118">
        <v>146.16</v>
      </c>
      <c r="M55" s="118">
        <v>132.8</v>
      </c>
      <c r="N55" s="118">
        <v>90.86</v>
      </c>
      <c r="O55" s="118">
        <v>28.07</v>
      </c>
      <c r="P55" s="131">
        <v>252.87</v>
      </c>
      <c r="Q55" s="131">
        <v>255.55</v>
      </c>
      <c r="R55" s="131">
        <v>254.21</v>
      </c>
      <c r="S55" s="118">
        <v>784.6</v>
      </c>
      <c r="T55" s="131">
        <v>6.25</v>
      </c>
      <c r="U55" s="143">
        <v>1</v>
      </c>
      <c r="V55" s="145"/>
      <c r="W55" s="335"/>
    </row>
    <row r="56" spans="1:23" ht="13.5">
      <c r="A56" s="310"/>
      <c r="B56" s="310"/>
      <c r="C56" s="332"/>
      <c r="D56" s="117" t="s">
        <v>124</v>
      </c>
      <c r="E56" s="118">
        <v>91.8</v>
      </c>
      <c r="F56" s="118">
        <v>150</v>
      </c>
      <c r="G56" s="118">
        <v>6.1</v>
      </c>
      <c r="H56" s="118">
        <v>27.8</v>
      </c>
      <c r="I56" s="118">
        <v>355.7</v>
      </c>
      <c r="J56" s="118">
        <v>22.86</v>
      </c>
      <c r="K56" s="118">
        <v>82.2</v>
      </c>
      <c r="L56" s="118">
        <v>141.4</v>
      </c>
      <c r="M56" s="118">
        <v>153.2</v>
      </c>
      <c r="N56" s="118">
        <v>92.3</v>
      </c>
      <c r="O56" s="118">
        <v>31.1</v>
      </c>
      <c r="P56" s="131">
        <v>189.6</v>
      </c>
      <c r="Q56" s="131">
        <v>172.5</v>
      </c>
      <c r="R56" s="131">
        <v>181.05</v>
      </c>
      <c r="S56" s="118">
        <v>670.6</v>
      </c>
      <c r="T56" s="131">
        <f>100*(S56-590.6)/590.6</f>
        <v>13.5455469014561</v>
      </c>
      <c r="U56" s="143">
        <v>2</v>
      </c>
      <c r="V56" s="145"/>
      <c r="W56" s="335"/>
    </row>
    <row r="57" spans="1:23" ht="13.5">
      <c r="A57" s="310"/>
      <c r="B57" s="310"/>
      <c r="C57" s="332"/>
      <c r="D57" s="117" t="s">
        <v>164</v>
      </c>
      <c r="E57" s="118">
        <v>98</v>
      </c>
      <c r="F57" s="118">
        <v>155</v>
      </c>
      <c r="G57" s="118">
        <v>9.1</v>
      </c>
      <c r="H57" s="118">
        <v>37.4</v>
      </c>
      <c r="I57" s="118">
        <v>311</v>
      </c>
      <c r="J57" s="118">
        <v>22.9</v>
      </c>
      <c r="K57" s="118">
        <v>61.2</v>
      </c>
      <c r="L57" s="118">
        <v>127.9</v>
      </c>
      <c r="M57" s="118">
        <v>126.2</v>
      </c>
      <c r="N57" s="118">
        <v>98.7</v>
      </c>
      <c r="O57" s="118">
        <v>28.2</v>
      </c>
      <c r="P57" s="131">
        <v>185.86</v>
      </c>
      <c r="Q57" s="131">
        <v>180.75</v>
      </c>
      <c r="R57" s="131">
        <v>183.305</v>
      </c>
      <c r="S57" s="118">
        <v>814.69</v>
      </c>
      <c r="T57" s="131">
        <v>3.73</v>
      </c>
      <c r="U57" s="143">
        <v>3</v>
      </c>
      <c r="V57" s="145"/>
      <c r="W57" s="335"/>
    </row>
    <row r="58" spans="1:23" ht="13.5">
      <c r="A58" s="310"/>
      <c r="B58" s="310"/>
      <c r="C58" s="332"/>
      <c r="D58" s="119" t="s">
        <v>30</v>
      </c>
      <c r="E58" s="120">
        <f aca="true" t="shared" si="5" ref="E58:S58">AVERAGE(E52:E57)</f>
        <v>98.0333333333333</v>
      </c>
      <c r="F58" s="120">
        <f t="shared" si="5"/>
        <v>148.5</v>
      </c>
      <c r="G58" s="120">
        <f t="shared" si="5"/>
        <v>7.99166666666667</v>
      </c>
      <c r="H58" s="120">
        <f t="shared" si="5"/>
        <v>33.525</v>
      </c>
      <c r="I58" s="120">
        <f t="shared" si="5"/>
        <v>338.038333333333</v>
      </c>
      <c r="J58" s="120">
        <f t="shared" si="5"/>
        <v>22.3966666666667</v>
      </c>
      <c r="K58" s="120">
        <f t="shared" si="5"/>
        <v>67.4383333333333</v>
      </c>
      <c r="L58" s="120">
        <f t="shared" si="5"/>
        <v>134.46</v>
      </c>
      <c r="M58" s="120">
        <f t="shared" si="5"/>
        <v>127.35</v>
      </c>
      <c r="N58" s="120">
        <f t="shared" si="5"/>
        <v>92.26</v>
      </c>
      <c r="O58" s="120">
        <f t="shared" si="5"/>
        <v>28.0966666666667</v>
      </c>
      <c r="P58" s="132">
        <f t="shared" si="5"/>
        <v>193.318333333333</v>
      </c>
      <c r="Q58" s="132">
        <f t="shared" si="5"/>
        <v>195.51</v>
      </c>
      <c r="R58" s="132">
        <f t="shared" si="5"/>
        <v>194.414166666667</v>
      </c>
      <c r="S58" s="120">
        <f t="shared" si="5"/>
        <v>724.565</v>
      </c>
      <c r="T58" s="132">
        <f>100*(S58-683.22)/683.22</f>
        <v>6.05149146687742</v>
      </c>
      <c r="U58" s="144">
        <v>2</v>
      </c>
      <c r="V58" s="145"/>
      <c r="W58" s="335"/>
    </row>
    <row r="59" spans="1:23" ht="15">
      <c r="A59" s="325" t="s">
        <v>34</v>
      </c>
      <c r="B59" s="310" t="s">
        <v>169</v>
      </c>
      <c r="C59" s="349" t="s">
        <v>170</v>
      </c>
      <c r="D59" s="103" t="s">
        <v>110</v>
      </c>
      <c r="E59" s="104">
        <v>95</v>
      </c>
      <c r="F59" s="104">
        <v>141</v>
      </c>
      <c r="G59" s="105">
        <v>7.6</v>
      </c>
      <c r="H59" s="105">
        <v>33.4</v>
      </c>
      <c r="I59" s="122">
        <v>339</v>
      </c>
      <c r="J59" s="105">
        <v>21.2</v>
      </c>
      <c r="K59" s="105">
        <v>63.4</v>
      </c>
      <c r="L59" s="104">
        <v>122</v>
      </c>
      <c r="M59" s="102">
        <v>109</v>
      </c>
      <c r="N59" s="123">
        <v>89.3</v>
      </c>
      <c r="O59" s="123">
        <v>26.9</v>
      </c>
      <c r="P59" s="106">
        <v>12.08</v>
      </c>
      <c r="Q59" s="106">
        <v>12.52</v>
      </c>
      <c r="R59" s="106">
        <v>11.97</v>
      </c>
      <c r="S59" s="106">
        <v>12.19</v>
      </c>
      <c r="T59" s="106">
        <v>609.5</v>
      </c>
      <c r="U59" s="133">
        <v>8.45195729537366</v>
      </c>
      <c r="V59" s="101">
        <v>2</v>
      </c>
      <c r="W59" s="335"/>
    </row>
    <row r="60" spans="1:23" ht="15">
      <c r="A60" s="310"/>
      <c r="B60" s="310"/>
      <c r="C60" s="350"/>
      <c r="D60" s="103" t="s">
        <v>149</v>
      </c>
      <c r="E60" s="102">
        <v>84</v>
      </c>
      <c r="F60" s="102">
        <v>150</v>
      </c>
      <c r="G60" s="106">
        <v>8.7</v>
      </c>
      <c r="H60" s="106">
        <v>41.8</v>
      </c>
      <c r="I60" s="123">
        <v>380.5</v>
      </c>
      <c r="J60" s="106">
        <v>27.38</v>
      </c>
      <c r="K60" s="106">
        <v>65.5</v>
      </c>
      <c r="L60" s="102">
        <v>96.4</v>
      </c>
      <c r="M60" s="102">
        <v>94.9</v>
      </c>
      <c r="N60" s="123">
        <v>98.4</v>
      </c>
      <c r="O60" s="123">
        <v>26.6</v>
      </c>
      <c r="P60" s="106">
        <v>13.5</v>
      </c>
      <c r="Q60" s="106">
        <v>13.7</v>
      </c>
      <c r="R60" s="106">
        <v>13.8</v>
      </c>
      <c r="S60" s="106">
        <v>13.6</v>
      </c>
      <c r="T60" s="106">
        <v>680</v>
      </c>
      <c r="U60" s="134">
        <v>8.8</v>
      </c>
      <c r="V60" s="101">
        <v>4</v>
      </c>
      <c r="W60" s="335"/>
    </row>
    <row r="61" spans="1:23" ht="15">
      <c r="A61" s="310"/>
      <c r="B61" s="310"/>
      <c r="C61" s="350"/>
      <c r="D61" s="103" t="s">
        <v>150</v>
      </c>
      <c r="E61" s="102">
        <v>83</v>
      </c>
      <c r="F61" s="102">
        <v>146</v>
      </c>
      <c r="G61" s="106">
        <v>10.59</v>
      </c>
      <c r="H61" s="106">
        <v>31.75</v>
      </c>
      <c r="I61" s="102">
        <f>(H61-G61)/G61*100</f>
        <v>199.811142587347</v>
      </c>
      <c r="J61" s="106">
        <v>22.33</v>
      </c>
      <c r="K61" s="106">
        <v>70.33</v>
      </c>
      <c r="L61" s="102">
        <v>124.63</v>
      </c>
      <c r="M61" s="104">
        <v>111.49</v>
      </c>
      <c r="N61" s="123">
        <v>89.46</v>
      </c>
      <c r="O61" s="123">
        <v>28.6</v>
      </c>
      <c r="P61" s="105">
        <v>13.5</v>
      </c>
      <c r="Q61" s="105">
        <v>14.15</v>
      </c>
      <c r="R61" s="105">
        <v>13.9</v>
      </c>
      <c r="S61" s="105">
        <v>13.85</v>
      </c>
      <c r="T61" s="105">
        <v>692.5</v>
      </c>
      <c r="U61" s="134">
        <v>7.78210116731517</v>
      </c>
      <c r="V61" s="135">
        <v>4</v>
      </c>
      <c r="W61" s="335"/>
    </row>
    <row r="62" spans="1:23" ht="15">
      <c r="A62" s="310"/>
      <c r="B62" s="310"/>
      <c r="C62" s="350"/>
      <c r="D62" s="103" t="s">
        <v>151</v>
      </c>
      <c r="E62" s="104">
        <v>89.3</v>
      </c>
      <c r="F62" s="104">
        <v>145</v>
      </c>
      <c r="G62" s="105">
        <v>8.3</v>
      </c>
      <c r="H62" s="105">
        <v>36.1</v>
      </c>
      <c r="I62" s="122">
        <v>334.94</v>
      </c>
      <c r="J62" s="105">
        <v>23.3</v>
      </c>
      <c r="K62" s="105">
        <v>64.54</v>
      </c>
      <c r="L62" s="102">
        <v>124.2</v>
      </c>
      <c r="M62" s="102">
        <v>121.5</v>
      </c>
      <c r="N62" s="123">
        <v>97.83</v>
      </c>
      <c r="O62" s="123">
        <v>28.38</v>
      </c>
      <c r="P62" s="106">
        <v>13.8</v>
      </c>
      <c r="Q62" s="106">
        <v>14.55</v>
      </c>
      <c r="R62" s="106">
        <v>14.6</v>
      </c>
      <c r="S62" s="106">
        <v>14.32</v>
      </c>
      <c r="T62" s="106">
        <v>716</v>
      </c>
      <c r="U62" s="134">
        <v>7.18562874251498</v>
      </c>
      <c r="V62" s="101">
        <v>5</v>
      </c>
      <c r="W62" s="335"/>
    </row>
    <row r="63" spans="1:23" ht="15">
      <c r="A63" s="310"/>
      <c r="B63" s="310"/>
      <c r="C63" s="350"/>
      <c r="D63" s="103" t="s">
        <v>111</v>
      </c>
      <c r="E63" s="102">
        <v>78.9</v>
      </c>
      <c r="F63" s="102">
        <v>140</v>
      </c>
      <c r="G63" s="106">
        <v>6.7</v>
      </c>
      <c r="H63" s="106">
        <v>44.2</v>
      </c>
      <c r="I63" s="123">
        <v>559.7</v>
      </c>
      <c r="J63" s="106">
        <v>24.1</v>
      </c>
      <c r="K63" s="106">
        <v>54.5</v>
      </c>
      <c r="L63" s="102">
        <v>103.6</v>
      </c>
      <c r="M63" s="102">
        <v>100.2</v>
      </c>
      <c r="N63" s="123">
        <v>96.7</v>
      </c>
      <c r="O63" s="123">
        <v>28.25</v>
      </c>
      <c r="P63" s="106">
        <v>12.64</v>
      </c>
      <c r="Q63" s="106">
        <v>12.88</v>
      </c>
      <c r="R63" s="106">
        <v>12.92</v>
      </c>
      <c r="S63" s="106">
        <v>12.81</v>
      </c>
      <c r="T63" s="106">
        <v>640.5</v>
      </c>
      <c r="U63" s="133">
        <v>0.70754716981132</v>
      </c>
      <c r="V63" s="101">
        <v>7</v>
      </c>
      <c r="W63" s="335"/>
    </row>
    <row r="64" spans="1:23" ht="15">
      <c r="A64" s="310"/>
      <c r="B64" s="310"/>
      <c r="C64" s="350"/>
      <c r="D64" s="103" t="s">
        <v>116</v>
      </c>
      <c r="E64" s="104">
        <v>80.6</v>
      </c>
      <c r="F64" s="104">
        <v>149</v>
      </c>
      <c r="G64" s="106">
        <v>7.1</v>
      </c>
      <c r="H64" s="106">
        <v>33.8</v>
      </c>
      <c r="I64" s="123">
        <v>376.1</v>
      </c>
      <c r="J64" s="106">
        <v>21.2</v>
      </c>
      <c r="K64" s="106">
        <v>62.7</v>
      </c>
      <c r="L64" s="104">
        <v>97.4</v>
      </c>
      <c r="M64" s="104">
        <v>93.1</v>
      </c>
      <c r="N64" s="122">
        <v>95.6</v>
      </c>
      <c r="O64" s="122">
        <v>27.1</v>
      </c>
      <c r="P64" s="106">
        <v>9.35</v>
      </c>
      <c r="Q64" s="106">
        <v>11.6</v>
      </c>
      <c r="R64" s="106">
        <v>12.55</v>
      </c>
      <c r="S64" s="106">
        <v>11.2</v>
      </c>
      <c r="T64" s="106">
        <v>560</v>
      </c>
      <c r="U64" s="134">
        <v>-5.08474576271188</v>
      </c>
      <c r="V64" s="101">
        <v>9</v>
      </c>
      <c r="W64" s="335"/>
    </row>
    <row r="65" spans="1:23" ht="15">
      <c r="A65" s="310"/>
      <c r="B65" s="310"/>
      <c r="C65" s="350"/>
      <c r="D65" s="103" t="s">
        <v>112</v>
      </c>
      <c r="E65" s="104">
        <v>94.2</v>
      </c>
      <c r="F65" s="104">
        <v>146</v>
      </c>
      <c r="G65" s="105">
        <v>8.03</v>
      </c>
      <c r="H65" s="105">
        <v>36.95</v>
      </c>
      <c r="I65" s="122">
        <v>360</v>
      </c>
      <c r="J65" s="105">
        <v>25.5</v>
      </c>
      <c r="K65" s="105">
        <v>69.01</v>
      </c>
      <c r="L65" s="104">
        <v>100.9</v>
      </c>
      <c r="M65" s="104">
        <v>99.45</v>
      </c>
      <c r="N65" s="122">
        <v>98.56</v>
      </c>
      <c r="O65" s="122">
        <v>27.9</v>
      </c>
      <c r="P65" s="105">
        <v>14.4</v>
      </c>
      <c r="Q65" s="105">
        <v>14.17</v>
      </c>
      <c r="R65" s="105">
        <v>14.6</v>
      </c>
      <c r="S65" s="105">
        <v>14.39</v>
      </c>
      <c r="T65" s="105">
        <v>719.5</v>
      </c>
      <c r="U65" s="134">
        <v>3.2059097755146</v>
      </c>
      <c r="V65" s="135">
        <v>6</v>
      </c>
      <c r="W65" s="335"/>
    </row>
    <row r="66" spans="1:23" ht="15">
      <c r="A66" s="310"/>
      <c r="B66" s="310"/>
      <c r="C66" s="350"/>
      <c r="D66" s="103" t="s">
        <v>152</v>
      </c>
      <c r="E66" s="104">
        <v>78</v>
      </c>
      <c r="F66" s="104">
        <v>147</v>
      </c>
      <c r="G66" s="105">
        <v>7.6</v>
      </c>
      <c r="H66" s="106">
        <v>26.5</v>
      </c>
      <c r="I66" s="122">
        <v>348.68</v>
      </c>
      <c r="J66" s="124">
        <v>20</v>
      </c>
      <c r="K66" s="105">
        <v>75.47</v>
      </c>
      <c r="L66" s="104">
        <v>132.5</v>
      </c>
      <c r="M66" s="104">
        <v>111.4</v>
      </c>
      <c r="N66" s="125">
        <v>84.08</v>
      </c>
      <c r="O66" s="122">
        <v>27.59</v>
      </c>
      <c r="P66" s="124">
        <v>12.16</v>
      </c>
      <c r="Q66" s="124">
        <v>12.24</v>
      </c>
      <c r="R66" s="124">
        <v>12.11</v>
      </c>
      <c r="S66" s="124">
        <v>12.17</v>
      </c>
      <c r="T66" s="124">
        <v>608.5</v>
      </c>
      <c r="U66" s="134">
        <v>-9.38198064035741</v>
      </c>
      <c r="V66" s="135">
        <v>13</v>
      </c>
      <c r="W66" s="335"/>
    </row>
    <row r="67" spans="1:23" ht="15">
      <c r="A67" s="310"/>
      <c r="B67" s="310"/>
      <c r="C67" s="350"/>
      <c r="D67" s="103" t="s">
        <v>37</v>
      </c>
      <c r="E67" s="102">
        <v>96</v>
      </c>
      <c r="F67" s="102">
        <v>141</v>
      </c>
      <c r="G67" s="106">
        <v>8.4</v>
      </c>
      <c r="H67" s="106">
        <v>33.07</v>
      </c>
      <c r="I67" s="123">
        <v>293.7</v>
      </c>
      <c r="J67" s="106">
        <v>22.23</v>
      </c>
      <c r="K67" s="106">
        <v>67.2</v>
      </c>
      <c r="L67" s="102">
        <v>98.1</v>
      </c>
      <c r="M67" s="102">
        <v>95.4</v>
      </c>
      <c r="N67" s="123">
        <v>97.2</v>
      </c>
      <c r="O67" s="123">
        <v>29.4</v>
      </c>
      <c r="P67" s="106">
        <v>14.39</v>
      </c>
      <c r="Q67" s="106">
        <v>14.31</v>
      </c>
      <c r="R67" s="106">
        <v>14.77</v>
      </c>
      <c r="S67" s="106">
        <v>14.49</v>
      </c>
      <c r="T67" s="106">
        <v>724.5</v>
      </c>
      <c r="U67" s="134">
        <v>5.15239477503629</v>
      </c>
      <c r="V67" s="101">
        <v>2</v>
      </c>
      <c r="W67" s="335"/>
    </row>
    <row r="68" spans="1:23" ht="14.25">
      <c r="A68" s="310"/>
      <c r="B68" s="310"/>
      <c r="C68" s="350"/>
      <c r="D68" s="107" t="s">
        <v>30</v>
      </c>
      <c r="E68" s="108">
        <f aca="true" t="shared" si="6" ref="E68:R68">AVERAGE(E59:E67)</f>
        <v>86.5555555555556</v>
      </c>
      <c r="F68" s="108">
        <f t="shared" si="6"/>
        <v>145</v>
      </c>
      <c r="G68" s="109">
        <f t="shared" si="6"/>
        <v>8.11333333333334</v>
      </c>
      <c r="H68" s="109">
        <f t="shared" si="6"/>
        <v>35.2855555555556</v>
      </c>
      <c r="I68" s="108">
        <f t="shared" si="6"/>
        <v>354.714571398594</v>
      </c>
      <c r="J68" s="109">
        <f t="shared" si="6"/>
        <v>23.0266666666667</v>
      </c>
      <c r="K68" s="109">
        <f t="shared" si="6"/>
        <v>65.85</v>
      </c>
      <c r="L68" s="108">
        <f t="shared" si="6"/>
        <v>111.081111111111</v>
      </c>
      <c r="M68" s="108">
        <f t="shared" si="6"/>
        <v>104.048888888889</v>
      </c>
      <c r="N68" s="126">
        <f t="shared" si="6"/>
        <v>94.1255555555556</v>
      </c>
      <c r="O68" s="126">
        <f t="shared" si="6"/>
        <v>27.8577777777778</v>
      </c>
      <c r="P68" s="109">
        <f t="shared" si="6"/>
        <v>12.8688888888889</v>
      </c>
      <c r="Q68" s="109">
        <f t="shared" si="6"/>
        <v>13.3466666666667</v>
      </c>
      <c r="R68" s="109">
        <f t="shared" si="6"/>
        <v>13.4688888888889</v>
      </c>
      <c r="S68" s="136">
        <v>13.2285185185185</v>
      </c>
      <c r="T68" s="136">
        <v>661.425925925926</v>
      </c>
      <c r="U68" s="136">
        <v>2.98425696326624</v>
      </c>
      <c r="V68" s="137">
        <v>7</v>
      </c>
      <c r="W68" s="335"/>
    </row>
    <row r="69" spans="1:23" ht="13.5">
      <c r="A69" s="325" t="s">
        <v>47</v>
      </c>
      <c r="B69" s="310"/>
      <c r="C69" s="351" t="s">
        <v>171</v>
      </c>
      <c r="D69" s="111" t="s">
        <v>100</v>
      </c>
      <c r="E69" s="112">
        <v>102</v>
      </c>
      <c r="F69" s="112">
        <v>148</v>
      </c>
      <c r="G69" s="112">
        <v>6.8</v>
      </c>
      <c r="H69" s="112">
        <v>32.6</v>
      </c>
      <c r="I69" s="112">
        <v>379</v>
      </c>
      <c r="J69" s="112">
        <v>21.1</v>
      </c>
      <c r="K69" s="112">
        <v>64.7</v>
      </c>
      <c r="L69" s="112">
        <v>132</v>
      </c>
      <c r="M69" s="113">
        <v>119</v>
      </c>
      <c r="N69" s="113">
        <v>90.2</v>
      </c>
      <c r="O69" s="113">
        <v>24.5</v>
      </c>
      <c r="P69" s="127">
        <v>11.13</v>
      </c>
      <c r="Q69" s="127">
        <v>11.35</v>
      </c>
      <c r="R69" s="127">
        <v>11.28</v>
      </c>
      <c r="S69" s="127">
        <v>11.25</v>
      </c>
      <c r="T69" s="113">
        <v>562.7</v>
      </c>
      <c r="U69" s="138">
        <f>100*(T69-530.2)/530.2</f>
        <v>6.12976235382874</v>
      </c>
      <c r="V69" s="139">
        <v>7</v>
      </c>
      <c r="W69" s="335"/>
    </row>
    <row r="70" spans="1:23" ht="13.5">
      <c r="A70" s="310"/>
      <c r="B70" s="310"/>
      <c r="C70" s="352"/>
      <c r="D70" s="111" t="s">
        <v>154</v>
      </c>
      <c r="E70" s="113">
        <v>96</v>
      </c>
      <c r="F70" s="113">
        <v>155</v>
      </c>
      <c r="G70" s="113">
        <v>9.3</v>
      </c>
      <c r="H70" s="113">
        <v>36.1</v>
      </c>
      <c r="I70" s="113">
        <v>388.2</v>
      </c>
      <c r="J70" s="113">
        <v>23.8</v>
      </c>
      <c r="K70" s="113">
        <v>65.9</v>
      </c>
      <c r="L70" s="113">
        <v>123.6</v>
      </c>
      <c r="M70" s="112">
        <v>118.2</v>
      </c>
      <c r="N70" s="113">
        <v>95.6</v>
      </c>
      <c r="O70" s="113">
        <v>28.2</v>
      </c>
      <c r="P70" s="128">
        <v>13.7</v>
      </c>
      <c r="Q70" s="128">
        <v>13.85</v>
      </c>
      <c r="R70" s="128">
        <v>13.85</v>
      </c>
      <c r="S70" s="128">
        <v>13.8</v>
      </c>
      <c r="T70" s="112">
        <v>690</v>
      </c>
      <c r="U70" s="138">
        <f>100*(T70-665.83)/665.83</f>
        <v>3.6300557199285</v>
      </c>
      <c r="V70" s="140">
        <v>10</v>
      </c>
      <c r="W70" s="335"/>
    </row>
    <row r="71" spans="1:23" ht="13.5">
      <c r="A71" s="310"/>
      <c r="B71" s="310"/>
      <c r="C71" s="352"/>
      <c r="D71" s="111" t="s">
        <v>155</v>
      </c>
      <c r="E71" s="113">
        <v>90.6</v>
      </c>
      <c r="F71" s="113">
        <v>148</v>
      </c>
      <c r="G71" s="113">
        <v>9.9</v>
      </c>
      <c r="H71" s="113">
        <v>40.3</v>
      </c>
      <c r="I71" s="113">
        <v>307.1</v>
      </c>
      <c r="J71" s="113">
        <v>23.6</v>
      </c>
      <c r="K71" s="113">
        <v>58.6</v>
      </c>
      <c r="L71" s="113">
        <v>118.3</v>
      </c>
      <c r="M71" s="113">
        <v>116.2</v>
      </c>
      <c r="N71" s="113">
        <v>98.2</v>
      </c>
      <c r="O71" s="113">
        <v>29.04</v>
      </c>
      <c r="P71" s="127">
        <v>13.57</v>
      </c>
      <c r="Q71" s="127">
        <v>13.65</v>
      </c>
      <c r="R71" s="127">
        <v>13.53</v>
      </c>
      <c r="S71" s="127">
        <v>13.58</v>
      </c>
      <c r="T71" s="110">
        <v>679.2</v>
      </c>
      <c r="U71" s="138">
        <f>100*(T71-637)/637</f>
        <v>6.62480376766092</v>
      </c>
      <c r="V71" s="110">
        <v>3</v>
      </c>
      <c r="W71" s="335"/>
    </row>
    <row r="72" spans="1:23" ht="13.5">
      <c r="A72" s="310"/>
      <c r="B72" s="310"/>
      <c r="C72" s="352"/>
      <c r="D72" s="111" t="s">
        <v>156</v>
      </c>
      <c r="E72" s="112">
        <v>105.6</v>
      </c>
      <c r="F72" s="112">
        <v>152</v>
      </c>
      <c r="G72" s="112">
        <v>7.3</v>
      </c>
      <c r="H72" s="112">
        <v>40.6</v>
      </c>
      <c r="I72" s="112">
        <v>456.16</v>
      </c>
      <c r="J72" s="112">
        <v>25.3</v>
      </c>
      <c r="K72" s="112">
        <v>62.32</v>
      </c>
      <c r="L72" s="113">
        <v>125.3</v>
      </c>
      <c r="M72" s="113">
        <v>122.8</v>
      </c>
      <c r="N72" s="113">
        <v>98</v>
      </c>
      <c r="O72" s="113">
        <v>28.3</v>
      </c>
      <c r="P72" s="127">
        <v>13.6</v>
      </c>
      <c r="Q72" s="127">
        <v>13.25</v>
      </c>
      <c r="R72" s="127">
        <v>14</v>
      </c>
      <c r="S72" s="127">
        <v>13.62</v>
      </c>
      <c r="T72" s="113">
        <v>681</v>
      </c>
      <c r="U72" s="138">
        <f>100*(T72-620)/620</f>
        <v>9.83870967741935</v>
      </c>
      <c r="V72" s="139">
        <v>1</v>
      </c>
      <c r="W72" s="335"/>
    </row>
    <row r="73" spans="1:23" ht="13.5">
      <c r="A73" s="310"/>
      <c r="B73" s="310"/>
      <c r="C73" s="352"/>
      <c r="D73" s="111" t="s">
        <v>157</v>
      </c>
      <c r="E73" s="112">
        <v>92.2</v>
      </c>
      <c r="F73" s="112">
        <v>144</v>
      </c>
      <c r="G73" s="113">
        <v>7.3</v>
      </c>
      <c r="H73" s="113">
        <v>25.3</v>
      </c>
      <c r="I73" s="113">
        <v>246.6</v>
      </c>
      <c r="J73" s="113">
        <v>20.8</v>
      </c>
      <c r="K73" s="113">
        <v>82.2</v>
      </c>
      <c r="L73" s="113">
        <v>126.4</v>
      </c>
      <c r="M73" s="113">
        <v>114.2</v>
      </c>
      <c r="N73" s="113">
        <f>100*M73/L73</f>
        <v>90.3481012658228</v>
      </c>
      <c r="O73" s="113">
        <v>27.5</v>
      </c>
      <c r="P73" s="127">
        <v>13</v>
      </c>
      <c r="Q73" s="127">
        <v>11.9</v>
      </c>
      <c r="R73" s="127">
        <v>13.1</v>
      </c>
      <c r="S73" s="127">
        <v>12.7</v>
      </c>
      <c r="T73" s="113">
        <v>633.2</v>
      </c>
      <c r="U73" s="138">
        <f>100*(T73-554.4)/554.4</f>
        <v>14.2135642135642</v>
      </c>
      <c r="V73" s="139">
        <v>1</v>
      </c>
      <c r="W73" s="335"/>
    </row>
    <row r="74" spans="1:23" ht="13.5">
      <c r="A74" s="310"/>
      <c r="B74" s="310"/>
      <c r="C74" s="352"/>
      <c r="D74" s="111" t="s">
        <v>102</v>
      </c>
      <c r="E74" s="112">
        <v>95</v>
      </c>
      <c r="F74" s="112">
        <v>153</v>
      </c>
      <c r="G74" s="112">
        <v>9.42</v>
      </c>
      <c r="H74" s="112">
        <v>29.92</v>
      </c>
      <c r="I74" s="112">
        <v>218</v>
      </c>
      <c r="J74" s="112">
        <v>23.25</v>
      </c>
      <c r="K74" s="112">
        <v>77.71</v>
      </c>
      <c r="L74" s="112">
        <v>118.56</v>
      </c>
      <c r="M74" s="112">
        <v>110.83</v>
      </c>
      <c r="N74" s="112">
        <v>93.48</v>
      </c>
      <c r="O74" s="112">
        <v>28</v>
      </c>
      <c r="P74" s="128">
        <v>14.4</v>
      </c>
      <c r="Q74" s="128">
        <v>14.7</v>
      </c>
      <c r="R74" s="128">
        <v>14.95</v>
      </c>
      <c r="S74" s="128">
        <v>14.683</v>
      </c>
      <c r="T74" s="112">
        <v>734.15</v>
      </c>
      <c r="U74" s="138">
        <f>100*(T74-718.35)/718.35</f>
        <v>2.19948493074406</v>
      </c>
      <c r="V74" s="140">
        <v>8</v>
      </c>
      <c r="W74" s="335"/>
    </row>
    <row r="75" spans="1:23" ht="13.5">
      <c r="A75" s="310"/>
      <c r="B75" s="310"/>
      <c r="C75" s="352"/>
      <c r="D75" s="111" t="s">
        <v>158</v>
      </c>
      <c r="E75" s="113">
        <v>103</v>
      </c>
      <c r="F75" s="113">
        <v>156</v>
      </c>
      <c r="G75" s="113">
        <v>6.1</v>
      </c>
      <c r="H75" s="114">
        <v>26.5</v>
      </c>
      <c r="I75" s="113">
        <v>293</v>
      </c>
      <c r="J75" s="114">
        <v>15.8</v>
      </c>
      <c r="K75" s="114">
        <v>59.6</v>
      </c>
      <c r="L75" s="114">
        <v>181.6</v>
      </c>
      <c r="M75" s="114">
        <v>162.9</v>
      </c>
      <c r="N75" s="114">
        <v>89.7</v>
      </c>
      <c r="O75" s="114">
        <v>30.28</v>
      </c>
      <c r="P75" s="129">
        <v>13.48</v>
      </c>
      <c r="Q75" s="129">
        <v>13.55</v>
      </c>
      <c r="R75" s="129">
        <v>13.88</v>
      </c>
      <c r="S75" s="129">
        <v>13.64</v>
      </c>
      <c r="T75" s="114">
        <v>681.83</v>
      </c>
      <c r="U75" s="138">
        <f>100*(T75-630)/630</f>
        <v>8.22698412698413</v>
      </c>
      <c r="V75" s="139">
        <v>5</v>
      </c>
      <c r="W75" s="335"/>
    </row>
    <row r="76" spans="1:23" ht="13.5">
      <c r="A76" s="310"/>
      <c r="B76" s="310"/>
      <c r="C76" s="352"/>
      <c r="D76" s="111" t="s">
        <v>105</v>
      </c>
      <c r="E76" s="113">
        <v>105</v>
      </c>
      <c r="F76" s="113">
        <v>155</v>
      </c>
      <c r="G76" s="113">
        <v>7.27</v>
      </c>
      <c r="H76" s="113">
        <v>32.4</v>
      </c>
      <c r="I76" s="113">
        <v>345.7</v>
      </c>
      <c r="J76" s="113">
        <v>20.3</v>
      </c>
      <c r="K76" s="113">
        <v>62.7</v>
      </c>
      <c r="L76" s="113">
        <v>125.4</v>
      </c>
      <c r="M76" s="113">
        <v>118.2</v>
      </c>
      <c r="N76" s="113">
        <v>94.3</v>
      </c>
      <c r="O76" s="113">
        <v>28.2</v>
      </c>
      <c r="P76" s="127">
        <v>13.284</v>
      </c>
      <c r="Q76" s="127">
        <v>12.91</v>
      </c>
      <c r="R76" s="127">
        <v>13.116</v>
      </c>
      <c r="S76" s="127">
        <v>13.103</v>
      </c>
      <c r="T76" s="113">
        <v>655.17</v>
      </c>
      <c r="U76" s="138">
        <f>100*(T76-629.35)/629.35</f>
        <v>4.10264558671644</v>
      </c>
      <c r="V76" s="139">
        <v>2</v>
      </c>
      <c r="W76" s="335"/>
    </row>
    <row r="77" spans="1:23" ht="13.5">
      <c r="A77" s="310"/>
      <c r="B77" s="310"/>
      <c r="C77" s="352"/>
      <c r="D77" s="111" t="s">
        <v>159</v>
      </c>
      <c r="E77" s="112">
        <v>87</v>
      </c>
      <c r="F77" s="112">
        <v>144</v>
      </c>
      <c r="G77" s="112">
        <v>8</v>
      </c>
      <c r="H77" s="113">
        <v>26.5</v>
      </c>
      <c r="I77" s="112">
        <v>331.25</v>
      </c>
      <c r="J77" s="113">
        <v>25.5</v>
      </c>
      <c r="K77" s="113">
        <v>96.23</v>
      </c>
      <c r="L77" s="113">
        <v>108.7</v>
      </c>
      <c r="M77" s="113">
        <v>100</v>
      </c>
      <c r="N77" s="113">
        <v>92</v>
      </c>
      <c r="O77" s="113">
        <v>26.23</v>
      </c>
      <c r="P77" s="127">
        <v>13.35</v>
      </c>
      <c r="Q77" s="127">
        <v>13.5</v>
      </c>
      <c r="R77" s="127">
        <v>13</v>
      </c>
      <c r="S77" s="127">
        <v>13.28</v>
      </c>
      <c r="T77" s="113">
        <v>664.17</v>
      </c>
      <c r="U77" s="138">
        <f>100*(T77-623.33)/623.33</f>
        <v>6.55190669468819</v>
      </c>
      <c r="V77" s="139">
        <v>4</v>
      </c>
      <c r="W77" s="335"/>
    </row>
    <row r="78" spans="1:23" ht="13.5">
      <c r="A78" s="310"/>
      <c r="B78" s="310"/>
      <c r="C78" s="352"/>
      <c r="D78" s="111" t="s">
        <v>160</v>
      </c>
      <c r="E78" s="113">
        <v>103.5</v>
      </c>
      <c r="F78" s="113">
        <v>144</v>
      </c>
      <c r="G78" s="113">
        <v>6.8</v>
      </c>
      <c r="H78" s="113">
        <v>25</v>
      </c>
      <c r="I78" s="113">
        <v>269.5</v>
      </c>
      <c r="J78" s="113">
        <v>19.8</v>
      </c>
      <c r="K78" s="113">
        <v>79.2</v>
      </c>
      <c r="L78" s="113">
        <v>176.7</v>
      </c>
      <c r="M78" s="113">
        <v>165</v>
      </c>
      <c r="N78" s="113">
        <v>93.4</v>
      </c>
      <c r="O78" s="113">
        <v>28.4</v>
      </c>
      <c r="P78" s="127">
        <v>13.5</v>
      </c>
      <c r="Q78" s="127">
        <v>12.2</v>
      </c>
      <c r="R78" s="127">
        <v>13.7</v>
      </c>
      <c r="S78" s="127">
        <v>13.13</v>
      </c>
      <c r="T78" s="113">
        <v>656.67</v>
      </c>
      <c r="U78" s="138">
        <f>100*(T78-628.33)/628.33</f>
        <v>4.5103687552719</v>
      </c>
      <c r="V78" s="139">
        <v>5</v>
      </c>
      <c r="W78" s="335"/>
    </row>
    <row r="79" spans="1:23" ht="13.5">
      <c r="A79" s="310"/>
      <c r="B79" s="310"/>
      <c r="C79" s="352"/>
      <c r="D79" s="115" t="s">
        <v>30</v>
      </c>
      <c r="E79" s="116">
        <f aca="true" t="shared" si="7" ref="E79:T79">AVERAGE(E69:E78)</f>
        <v>97.99</v>
      </c>
      <c r="F79" s="116">
        <f t="shared" si="7"/>
        <v>149.9</v>
      </c>
      <c r="G79" s="116">
        <f t="shared" si="7"/>
        <v>7.819</v>
      </c>
      <c r="H79" s="116">
        <f t="shared" si="7"/>
        <v>31.522</v>
      </c>
      <c r="I79" s="116">
        <f t="shared" si="7"/>
        <v>323.451</v>
      </c>
      <c r="J79" s="116">
        <f t="shared" si="7"/>
        <v>21.925</v>
      </c>
      <c r="K79" s="116">
        <f t="shared" si="7"/>
        <v>70.916</v>
      </c>
      <c r="L79" s="116">
        <f t="shared" si="7"/>
        <v>133.656</v>
      </c>
      <c r="M79" s="116">
        <f t="shared" si="7"/>
        <v>124.733</v>
      </c>
      <c r="N79" s="116">
        <f t="shared" si="7"/>
        <v>93.5228101265823</v>
      </c>
      <c r="O79" s="116">
        <f t="shared" si="7"/>
        <v>27.865</v>
      </c>
      <c r="P79" s="130">
        <f t="shared" si="7"/>
        <v>13.3014</v>
      </c>
      <c r="Q79" s="130">
        <f t="shared" si="7"/>
        <v>13.086</v>
      </c>
      <c r="R79" s="130">
        <f t="shared" si="7"/>
        <v>13.4406</v>
      </c>
      <c r="S79" s="130">
        <f t="shared" si="7"/>
        <v>13.2786</v>
      </c>
      <c r="T79" s="116">
        <f t="shared" si="7"/>
        <v>663.809</v>
      </c>
      <c r="U79" s="141">
        <f>100*(T79-623.679)/623.679</f>
        <v>6.43439974730592</v>
      </c>
      <c r="V79" s="142">
        <v>2</v>
      </c>
      <c r="W79" s="335"/>
    </row>
    <row r="80" spans="1:23" ht="13.5">
      <c r="A80" s="325" t="s">
        <v>51</v>
      </c>
      <c r="B80" s="310"/>
      <c r="C80" s="331" t="s">
        <v>172</v>
      </c>
      <c r="D80" s="117" t="s">
        <v>162</v>
      </c>
      <c r="E80" s="118">
        <v>90.6</v>
      </c>
      <c r="F80" s="118">
        <v>135</v>
      </c>
      <c r="G80" s="118">
        <v>7.8</v>
      </c>
      <c r="H80" s="118">
        <v>31.8</v>
      </c>
      <c r="I80" s="118">
        <v>306.5</v>
      </c>
      <c r="J80" s="118">
        <v>22.4</v>
      </c>
      <c r="K80" s="118">
        <v>70.6</v>
      </c>
      <c r="L80" s="118">
        <v>146.6</v>
      </c>
      <c r="M80" s="118">
        <v>134.7</v>
      </c>
      <c r="N80" s="118">
        <v>91.9</v>
      </c>
      <c r="O80" s="118">
        <v>27.5</v>
      </c>
      <c r="P80" s="131">
        <v>182.6</v>
      </c>
      <c r="Q80" s="131">
        <v>179.5</v>
      </c>
      <c r="R80" s="131">
        <v>181.1</v>
      </c>
      <c r="S80" s="118">
        <v>671.1</v>
      </c>
      <c r="T80" s="131">
        <f>100*(S80-635.8)/635.8</f>
        <v>5.55206039635106</v>
      </c>
      <c r="U80" s="143">
        <v>3</v>
      </c>
      <c r="W80" s="335"/>
    </row>
    <row r="81" spans="1:23" ht="13.5">
      <c r="A81" s="310"/>
      <c r="B81" s="310"/>
      <c r="C81" s="332"/>
      <c r="D81" s="117" t="s">
        <v>117</v>
      </c>
      <c r="E81" s="118">
        <v>91</v>
      </c>
      <c r="F81" s="118">
        <v>152</v>
      </c>
      <c r="G81" s="118">
        <v>7.7</v>
      </c>
      <c r="H81" s="118">
        <v>26.1</v>
      </c>
      <c r="I81" s="118">
        <v>239</v>
      </c>
      <c r="J81" s="118">
        <v>18.6</v>
      </c>
      <c r="K81" s="118">
        <v>71.2</v>
      </c>
      <c r="L81" s="118">
        <v>140</v>
      </c>
      <c r="M81" s="118">
        <v>126</v>
      </c>
      <c r="N81" s="118">
        <v>90</v>
      </c>
      <c r="O81" s="118">
        <v>27.3</v>
      </c>
      <c r="P81" s="131">
        <v>153.8</v>
      </c>
      <c r="Q81" s="131">
        <v>164.5</v>
      </c>
      <c r="R81" s="131">
        <f>AVERAGE(P81:Q81)</f>
        <v>159.15</v>
      </c>
      <c r="S81" s="118">
        <v>636.6</v>
      </c>
      <c r="T81" s="131">
        <v>4.53</v>
      </c>
      <c r="U81" s="143">
        <v>3</v>
      </c>
      <c r="W81" s="335"/>
    </row>
    <row r="82" spans="1:23" ht="13.5">
      <c r="A82" s="310"/>
      <c r="B82" s="310"/>
      <c r="C82" s="332"/>
      <c r="D82" s="117" t="s">
        <v>121</v>
      </c>
      <c r="E82" s="118">
        <v>89.5</v>
      </c>
      <c r="F82" s="118">
        <v>141</v>
      </c>
      <c r="G82" s="118">
        <v>3.7</v>
      </c>
      <c r="H82" s="118">
        <v>33.6</v>
      </c>
      <c r="I82" s="118">
        <v>808.1</v>
      </c>
      <c r="J82" s="118">
        <v>25</v>
      </c>
      <c r="K82" s="118">
        <v>74.4</v>
      </c>
      <c r="L82" s="118">
        <v>155.6</v>
      </c>
      <c r="M82" s="118">
        <v>153.5</v>
      </c>
      <c r="N82" s="118">
        <v>98.6</v>
      </c>
      <c r="O82" s="118">
        <v>28.72</v>
      </c>
      <c r="P82" s="131">
        <v>200.8</v>
      </c>
      <c r="Q82" s="131">
        <v>212.8</v>
      </c>
      <c r="R82" s="131">
        <v>206.8</v>
      </c>
      <c r="S82" s="118">
        <v>766.3</v>
      </c>
      <c r="T82" s="131">
        <v>3.54</v>
      </c>
      <c r="U82" s="143">
        <v>3</v>
      </c>
      <c r="W82" s="335"/>
    </row>
    <row r="83" spans="1:23" ht="13.5">
      <c r="A83" s="310"/>
      <c r="B83" s="310"/>
      <c r="C83" s="332"/>
      <c r="D83" s="117" t="s">
        <v>163</v>
      </c>
      <c r="E83" s="118">
        <v>94</v>
      </c>
      <c r="F83" s="118">
        <v>155</v>
      </c>
      <c r="G83" s="118">
        <v>9.31</v>
      </c>
      <c r="H83" s="118">
        <v>28.49</v>
      </c>
      <c r="I83" s="118">
        <v>306.02</v>
      </c>
      <c r="J83" s="118">
        <v>21.9</v>
      </c>
      <c r="K83" s="118">
        <v>76.87</v>
      </c>
      <c r="L83" s="118">
        <v>135.6</v>
      </c>
      <c r="M83" s="118">
        <v>126.4</v>
      </c>
      <c r="N83" s="118">
        <v>93.22</v>
      </c>
      <c r="O83" s="118">
        <v>28.26</v>
      </c>
      <c r="P83" s="131">
        <v>245.97</v>
      </c>
      <c r="Q83" s="131">
        <v>252.79</v>
      </c>
      <c r="R83" s="131">
        <v>249.38</v>
      </c>
      <c r="S83" s="118">
        <v>769.69</v>
      </c>
      <c r="T83" s="131">
        <v>4.23</v>
      </c>
      <c r="U83" s="143">
        <v>3</v>
      </c>
      <c r="W83" s="335"/>
    </row>
    <row r="84" spans="1:23" ht="13.5">
      <c r="A84" s="310"/>
      <c r="B84" s="310"/>
      <c r="C84" s="332"/>
      <c r="D84" s="117" t="s">
        <v>124</v>
      </c>
      <c r="E84" s="118">
        <v>90</v>
      </c>
      <c r="F84" s="118">
        <v>149</v>
      </c>
      <c r="G84" s="118">
        <v>6.2</v>
      </c>
      <c r="H84" s="118">
        <v>29.7</v>
      </c>
      <c r="I84" s="118">
        <v>379</v>
      </c>
      <c r="J84" s="118">
        <v>21.96</v>
      </c>
      <c r="K84" s="118">
        <v>73.9</v>
      </c>
      <c r="L84" s="118">
        <v>88.1</v>
      </c>
      <c r="M84" s="118">
        <v>91.4</v>
      </c>
      <c r="N84" s="118">
        <v>96.4</v>
      </c>
      <c r="O84" s="118">
        <v>31.1</v>
      </c>
      <c r="P84" s="131">
        <v>163.8</v>
      </c>
      <c r="Q84" s="131">
        <v>161.4</v>
      </c>
      <c r="R84" s="131">
        <v>162.58</v>
      </c>
      <c r="S84" s="118">
        <v>602.1</v>
      </c>
      <c r="T84" s="131">
        <f>100*(S84-590.6)/590.6</f>
        <v>1.94717236708432</v>
      </c>
      <c r="U84" s="143">
        <v>4</v>
      </c>
      <c r="W84" s="335"/>
    </row>
    <row r="85" spans="1:23" ht="13.5">
      <c r="A85" s="310"/>
      <c r="B85" s="310"/>
      <c r="C85" s="332"/>
      <c r="D85" s="117" t="s">
        <v>164</v>
      </c>
      <c r="E85" s="118">
        <v>93</v>
      </c>
      <c r="F85" s="118">
        <v>153</v>
      </c>
      <c r="G85" s="118">
        <v>9.5</v>
      </c>
      <c r="H85" s="118">
        <v>32.3</v>
      </c>
      <c r="I85" s="118">
        <v>240</v>
      </c>
      <c r="J85" s="118">
        <v>22.7</v>
      </c>
      <c r="K85" s="118">
        <v>70.3</v>
      </c>
      <c r="L85" s="118">
        <v>129.7</v>
      </c>
      <c r="M85" s="118">
        <v>121.4</v>
      </c>
      <c r="N85" s="118">
        <v>93.6</v>
      </c>
      <c r="O85" s="118">
        <v>28.8</v>
      </c>
      <c r="P85" s="131">
        <v>180.33</v>
      </c>
      <c r="Q85" s="131">
        <v>176.5</v>
      </c>
      <c r="R85" s="131">
        <v>178.415</v>
      </c>
      <c r="S85" s="118">
        <v>792.96</v>
      </c>
      <c r="T85" s="131">
        <v>0.96</v>
      </c>
      <c r="U85" s="143">
        <v>4</v>
      </c>
      <c r="W85" s="335"/>
    </row>
    <row r="86" spans="1:23" ht="13.5">
      <c r="A86" s="310"/>
      <c r="B86" s="310"/>
      <c r="C86" s="332"/>
      <c r="D86" s="119" t="s">
        <v>30</v>
      </c>
      <c r="E86" s="120">
        <f aca="true" t="shared" si="8" ref="E86:S86">AVERAGE(E80:E85)</f>
        <v>91.35</v>
      </c>
      <c r="F86" s="120">
        <f t="shared" si="8"/>
        <v>147.5</v>
      </c>
      <c r="G86" s="120">
        <f t="shared" si="8"/>
        <v>7.36833333333333</v>
      </c>
      <c r="H86" s="120">
        <f t="shared" si="8"/>
        <v>30.3316666666667</v>
      </c>
      <c r="I86" s="120">
        <f t="shared" si="8"/>
        <v>379.77</v>
      </c>
      <c r="J86" s="120">
        <f t="shared" si="8"/>
        <v>22.0933333333333</v>
      </c>
      <c r="K86" s="120">
        <f t="shared" si="8"/>
        <v>72.8783333333333</v>
      </c>
      <c r="L86" s="120">
        <f t="shared" si="8"/>
        <v>132.6</v>
      </c>
      <c r="M86" s="120">
        <f t="shared" si="8"/>
        <v>125.566666666667</v>
      </c>
      <c r="N86" s="120">
        <f t="shared" si="8"/>
        <v>93.9533333333333</v>
      </c>
      <c r="O86" s="120">
        <f t="shared" si="8"/>
        <v>28.6133333333333</v>
      </c>
      <c r="P86" s="132">
        <f t="shared" si="8"/>
        <v>187.883333333333</v>
      </c>
      <c r="Q86" s="132">
        <f t="shared" si="8"/>
        <v>191.248333333333</v>
      </c>
      <c r="R86" s="132">
        <f t="shared" si="8"/>
        <v>189.570833333333</v>
      </c>
      <c r="S86" s="120">
        <f t="shared" si="8"/>
        <v>706.458333333333</v>
      </c>
      <c r="T86" s="132">
        <f>100*(S86-683.22)/683.22</f>
        <v>3.40129582467336</v>
      </c>
      <c r="U86" s="144">
        <v>4</v>
      </c>
      <c r="W86" s="335"/>
    </row>
  </sheetData>
  <sheetProtection/>
  <mergeCells count="42">
    <mergeCell ref="W3:W86"/>
    <mergeCell ref="O1:O2"/>
    <mergeCell ref="T1:T2"/>
    <mergeCell ref="U1:U2"/>
    <mergeCell ref="V1:V2"/>
    <mergeCell ref="W1:W2"/>
    <mergeCell ref="P1:S1"/>
    <mergeCell ref="C80:C86"/>
    <mergeCell ref="D1:D2"/>
    <mergeCell ref="E1:E2"/>
    <mergeCell ref="F1:F2"/>
    <mergeCell ref="G1:G2"/>
    <mergeCell ref="C31:C40"/>
    <mergeCell ref="C41:C51"/>
    <mergeCell ref="C52:C58"/>
    <mergeCell ref="C59:C68"/>
    <mergeCell ref="C69:C79"/>
    <mergeCell ref="C1:C2"/>
    <mergeCell ref="C3:C12"/>
    <mergeCell ref="C13:C23"/>
    <mergeCell ref="C24:C30"/>
    <mergeCell ref="A80:A86"/>
    <mergeCell ref="B1:B2"/>
    <mergeCell ref="B3:B30"/>
    <mergeCell ref="B31:B58"/>
    <mergeCell ref="B59:B86"/>
    <mergeCell ref="A31:A40"/>
    <mergeCell ref="A41:A51"/>
    <mergeCell ref="A52:A58"/>
    <mergeCell ref="A59:A68"/>
    <mergeCell ref="A69:A79"/>
    <mergeCell ref="A1:A2"/>
    <mergeCell ref="A3:A12"/>
    <mergeCell ref="A13:A23"/>
    <mergeCell ref="A24:A30"/>
    <mergeCell ref="M1:M2"/>
    <mergeCell ref="N1:N2"/>
    <mergeCell ref="H1:H2"/>
    <mergeCell ref="I1:I2"/>
    <mergeCell ref="J1:J2"/>
    <mergeCell ref="K1:K2"/>
    <mergeCell ref="L1:L2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W3" sqref="W3:W27"/>
    </sheetView>
  </sheetViews>
  <sheetFormatPr defaultColWidth="9.00390625" defaultRowHeight="15"/>
  <sheetData>
    <row r="1" spans="1:23" ht="18" customHeight="1">
      <c r="A1" s="317" t="s">
        <v>0</v>
      </c>
      <c r="B1" s="317" t="s">
        <v>1</v>
      </c>
      <c r="C1" s="78" t="s">
        <v>2</v>
      </c>
      <c r="D1" s="359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 t="s">
        <v>10</v>
      </c>
      <c r="L1" s="78" t="s">
        <v>11</v>
      </c>
      <c r="M1" s="78" t="s">
        <v>11</v>
      </c>
      <c r="N1" s="78" t="s">
        <v>12</v>
      </c>
      <c r="O1" s="78" t="s">
        <v>13</v>
      </c>
      <c r="P1" s="362" t="s">
        <v>173</v>
      </c>
      <c r="Q1" s="363"/>
      <c r="R1" s="363"/>
      <c r="S1" s="364"/>
      <c r="T1" s="78" t="s">
        <v>174</v>
      </c>
      <c r="U1" s="78" t="s">
        <v>175</v>
      </c>
      <c r="V1" s="94" t="s">
        <v>17</v>
      </c>
      <c r="W1" s="316" t="s">
        <v>18</v>
      </c>
    </row>
    <row r="2" spans="1:23" ht="18" customHeight="1">
      <c r="A2" s="317"/>
      <c r="B2" s="317"/>
      <c r="C2" s="79" t="s">
        <v>19</v>
      </c>
      <c r="D2" s="359"/>
      <c r="E2" s="80" t="s">
        <v>20</v>
      </c>
      <c r="F2" s="80" t="s">
        <v>176</v>
      </c>
      <c r="G2" s="80" t="s">
        <v>177</v>
      </c>
      <c r="H2" s="80" t="s">
        <v>177</v>
      </c>
      <c r="I2" s="80" t="s">
        <v>23</v>
      </c>
      <c r="J2" s="80" t="s">
        <v>178</v>
      </c>
      <c r="K2" s="80" t="s">
        <v>23</v>
      </c>
      <c r="L2" s="80" t="s">
        <v>24</v>
      </c>
      <c r="M2" s="80" t="s">
        <v>25</v>
      </c>
      <c r="N2" s="80" t="s">
        <v>23</v>
      </c>
      <c r="O2" s="80" t="s">
        <v>179</v>
      </c>
      <c r="P2" s="91" t="s">
        <v>27</v>
      </c>
      <c r="Q2" s="91" t="s">
        <v>28</v>
      </c>
      <c r="R2" s="91" t="s">
        <v>29</v>
      </c>
      <c r="S2" s="91" t="s">
        <v>30</v>
      </c>
      <c r="T2" s="80" t="s">
        <v>31</v>
      </c>
      <c r="U2" s="80" t="s">
        <v>180</v>
      </c>
      <c r="V2" s="82" t="s">
        <v>33</v>
      </c>
      <c r="W2" s="317"/>
    </row>
    <row r="3" spans="1:23" ht="18" customHeight="1">
      <c r="A3" s="325" t="s">
        <v>34</v>
      </c>
      <c r="B3" s="325" t="s">
        <v>181</v>
      </c>
      <c r="C3" s="357" t="s">
        <v>182</v>
      </c>
      <c r="D3" s="81" t="s">
        <v>183</v>
      </c>
      <c r="E3" s="82">
        <v>96.2</v>
      </c>
      <c r="F3" s="82">
        <v>157</v>
      </c>
      <c r="G3" s="82">
        <v>5.2</v>
      </c>
      <c r="H3" s="82">
        <v>36.6</v>
      </c>
      <c r="I3" s="82">
        <v>704</v>
      </c>
      <c r="J3" s="82">
        <v>27.4</v>
      </c>
      <c r="K3" s="82">
        <v>74.9</v>
      </c>
      <c r="L3" s="82">
        <v>102.7</v>
      </c>
      <c r="M3" s="82">
        <v>86.7</v>
      </c>
      <c r="N3" s="82">
        <v>84.4</v>
      </c>
      <c r="O3" s="82">
        <v>28.3</v>
      </c>
      <c r="P3" s="92">
        <v>13.16</v>
      </c>
      <c r="Q3" s="92">
        <v>13.27</v>
      </c>
      <c r="R3" s="92">
        <v>13.25</v>
      </c>
      <c r="S3" s="92">
        <f aca="true" t="shared" si="0" ref="S3:S9">(P3+Q3+R3)/3</f>
        <v>13.2266666666667</v>
      </c>
      <c r="T3" s="95">
        <f aca="true" t="shared" si="1" ref="T3:T9">S3*50</f>
        <v>661.333333333333</v>
      </c>
      <c r="U3" s="96">
        <f>(T3-625.33)/625.33*100</f>
        <v>5.75749337683037</v>
      </c>
      <c r="V3" s="97">
        <v>3</v>
      </c>
      <c r="W3" s="361" t="s">
        <v>184</v>
      </c>
    </row>
    <row r="4" spans="1:23" ht="18" customHeight="1">
      <c r="A4" s="310"/>
      <c r="B4" s="310"/>
      <c r="C4" s="357"/>
      <c r="D4" s="83" t="s">
        <v>109</v>
      </c>
      <c r="E4" s="84">
        <v>96.2</v>
      </c>
      <c r="F4" s="84">
        <v>160</v>
      </c>
      <c r="G4" s="84">
        <v>6.2</v>
      </c>
      <c r="H4" s="84">
        <v>28.6</v>
      </c>
      <c r="I4" s="84">
        <v>361.29</v>
      </c>
      <c r="J4" s="84">
        <v>21.74</v>
      </c>
      <c r="K4" s="84">
        <v>76.01</v>
      </c>
      <c r="L4" s="84">
        <v>133.33</v>
      </c>
      <c r="M4" s="84">
        <v>120.89</v>
      </c>
      <c r="N4" s="84">
        <v>90.67</v>
      </c>
      <c r="O4" s="84">
        <v>28.54</v>
      </c>
      <c r="P4" s="93">
        <v>13.28</v>
      </c>
      <c r="Q4" s="93">
        <v>13.13</v>
      </c>
      <c r="R4" s="93">
        <v>13.4</v>
      </c>
      <c r="S4" s="93">
        <f t="shared" si="0"/>
        <v>13.27</v>
      </c>
      <c r="T4" s="98">
        <f t="shared" si="1"/>
        <v>663.5</v>
      </c>
      <c r="U4" s="99">
        <f>(T4-613.5)/613.5*100</f>
        <v>8.14995925020377</v>
      </c>
      <c r="V4" s="6">
        <v>6</v>
      </c>
      <c r="W4" s="317"/>
    </row>
    <row r="5" spans="1:23" ht="18" customHeight="1">
      <c r="A5" s="310"/>
      <c r="B5" s="310"/>
      <c r="C5" s="357"/>
      <c r="D5" s="83" t="s">
        <v>111</v>
      </c>
      <c r="E5" s="84">
        <v>96</v>
      </c>
      <c r="F5" s="84">
        <v>162</v>
      </c>
      <c r="G5" s="84">
        <v>5.8</v>
      </c>
      <c r="H5" s="84">
        <v>38.7</v>
      </c>
      <c r="I5" s="84">
        <v>567.2</v>
      </c>
      <c r="J5" s="84">
        <v>22.9</v>
      </c>
      <c r="K5" s="84">
        <v>59.1</v>
      </c>
      <c r="L5" s="84">
        <v>130.8</v>
      </c>
      <c r="M5" s="84">
        <v>129.2</v>
      </c>
      <c r="N5" s="84">
        <v>98.8</v>
      </c>
      <c r="O5" s="84">
        <v>28.12</v>
      </c>
      <c r="P5" s="93">
        <v>13.61</v>
      </c>
      <c r="Q5" s="93">
        <v>13.86</v>
      </c>
      <c r="R5" s="93">
        <v>14.48</v>
      </c>
      <c r="S5" s="93">
        <f t="shared" si="0"/>
        <v>13.9833333333333</v>
      </c>
      <c r="T5" s="98">
        <f t="shared" si="1"/>
        <v>699.166666666667</v>
      </c>
      <c r="U5" s="99">
        <f>(T5-691.17)/691.17*100</f>
        <v>1.15697537026589</v>
      </c>
      <c r="V5" s="6">
        <v>6</v>
      </c>
      <c r="W5" s="317"/>
    </row>
    <row r="6" spans="1:23" ht="18" customHeight="1">
      <c r="A6" s="310"/>
      <c r="B6" s="310"/>
      <c r="C6" s="357"/>
      <c r="D6" s="83" t="s">
        <v>185</v>
      </c>
      <c r="E6" s="84">
        <v>92</v>
      </c>
      <c r="F6" s="84">
        <v>155</v>
      </c>
      <c r="G6" s="84">
        <v>5.55</v>
      </c>
      <c r="H6" s="84">
        <v>30.8</v>
      </c>
      <c r="I6" s="84">
        <v>455</v>
      </c>
      <c r="J6" s="84">
        <v>21.8</v>
      </c>
      <c r="K6" s="84">
        <v>70.8</v>
      </c>
      <c r="L6" s="84">
        <v>115.3</v>
      </c>
      <c r="M6" s="84">
        <v>110.8</v>
      </c>
      <c r="N6" s="84">
        <v>96.1</v>
      </c>
      <c r="O6" s="84">
        <v>29.5</v>
      </c>
      <c r="P6" s="93">
        <v>11.56</v>
      </c>
      <c r="Q6" s="93">
        <v>12.71</v>
      </c>
      <c r="R6" s="93">
        <v>12.85</v>
      </c>
      <c r="S6" s="93">
        <f t="shared" si="0"/>
        <v>12.3733333333333</v>
      </c>
      <c r="T6" s="98">
        <f t="shared" si="1"/>
        <v>618.666666666667</v>
      </c>
      <c r="U6" s="99">
        <f>(T6-632.67)/632.67*100</f>
        <v>-2.21337084630743</v>
      </c>
      <c r="V6" s="6">
        <v>8</v>
      </c>
      <c r="W6" s="317"/>
    </row>
    <row r="7" spans="1:23" ht="18" customHeight="1">
      <c r="A7" s="310"/>
      <c r="B7" s="310"/>
      <c r="C7" s="357"/>
      <c r="D7" s="83" t="s">
        <v>186</v>
      </c>
      <c r="E7" s="84">
        <v>88</v>
      </c>
      <c r="F7" s="84">
        <v>153</v>
      </c>
      <c r="G7" s="84">
        <v>6.2</v>
      </c>
      <c r="H7" s="84">
        <v>26.7</v>
      </c>
      <c r="I7" s="84">
        <v>430.65</v>
      </c>
      <c r="J7" s="84">
        <v>22.4</v>
      </c>
      <c r="K7" s="84">
        <v>83.9</v>
      </c>
      <c r="L7" s="84">
        <v>89</v>
      </c>
      <c r="M7" s="84">
        <v>82.7</v>
      </c>
      <c r="N7" s="84">
        <v>92.9</v>
      </c>
      <c r="O7" s="84">
        <v>27.76</v>
      </c>
      <c r="P7" s="93">
        <v>14.28</v>
      </c>
      <c r="Q7" s="93">
        <v>14.37</v>
      </c>
      <c r="R7" s="93">
        <v>14.28</v>
      </c>
      <c r="S7" s="93">
        <f t="shared" si="0"/>
        <v>14.31</v>
      </c>
      <c r="T7" s="98">
        <f t="shared" si="1"/>
        <v>715.5</v>
      </c>
      <c r="U7" s="99">
        <f>(T7-701.5)/701.5*100</f>
        <v>1.99572344975053</v>
      </c>
      <c r="V7" s="6">
        <v>6</v>
      </c>
      <c r="W7" s="317"/>
    </row>
    <row r="8" spans="1:23" ht="18" customHeight="1">
      <c r="A8" s="310"/>
      <c r="B8" s="310"/>
      <c r="C8" s="357"/>
      <c r="D8" s="83" t="s">
        <v>187</v>
      </c>
      <c r="E8" s="84">
        <v>95</v>
      </c>
      <c r="F8" s="84">
        <v>159</v>
      </c>
      <c r="G8" s="84">
        <v>6</v>
      </c>
      <c r="H8" s="84">
        <v>26.8</v>
      </c>
      <c r="I8" s="84">
        <v>347</v>
      </c>
      <c r="J8" s="84">
        <v>19.8</v>
      </c>
      <c r="K8" s="84">
        <v>73.9</v>
      </c>
      <c r="L8" s="84">
        <v>134.7</v>
      </c>
      <c r="M8" s="84">
        <v>121.7</v>
      </c>
      <c r="N8" s="84">
        <v>90.3</v>
      </c>
      <c r="O8" s="84">
        <v>25.8</v>
      </c>
      <c r="P8" s="93">
        <v>12.38</v>
      </c>
      <c r="Q8" s="93">
        <v>12.32</v>
      </c>
      <c r="R8" s="93">
        <v>12.34</v>
      </c>
      <c r="S8" s="93">
        <f t="shared" si="0"/>
        <v>12.3466666666667</v>
      </c>
      <c r="T8" s="98">
        <f t="shared" si="1"/>
        <v>617.333333333333</v>
      </c>
      <c r="U8" s="99">
        <f>(T8-623)/623*100</f>
        <v>-0.909577314071672</v>
      </c>
      <c r="V8" s="6">
        <v>12</v>
      </c>
      <c r="W8" s="317"/>
    </row>
    <row r="9" spans="1:23" ht="18" customHeight="1">
      <c r="A9" s="310"/>
      <c r="B9" s="310"/>
      <c r="C9" s="357"/>
      <c r="D9" s="83" t="s">
        <v>188</v>
      </c>
      <c r="E9" s="85">
        <v>98.57</v>
      </c>
      <c r="F9" s="85">
        <v>159</v>
      </c>
      <c r="G9" s="85">
        <v>4.5</v>
      </c>
      <c r="H9" s="85">
        <v>26.4</v>
      </c>
      <c r="I9" s="85">
        <v>486.67</v>
      </c>
      <c r="J9" s="85">
        <v>20.25</v>
      </c>
      <c r="K9" s="85">
        <v>76.7</v>
      </c>
      <c r="L9" s="84">
        <v>130.49</v>
      </c>
      <c r="M9" s="84">
        <v>124.3</v>
      </c>
      <c r="N9" s="84">
        <v>95.26</v>
      </c>
      <c r="O9" s="84">
        <v>27.34</v>
      </c>
      <c r="P9" s="93">
        <v>12.57</v>
      </c>
      <c r="Q9" s="93">
        <v>12.95</v>
      </c>
      <c r="R9" s="93">
        <v>12.68</v>
      </c>
      <c r="S9" s="93">
        <f t="shared" si="0"/>
        <v>12.7333333333333</v>
      </c>
      <c r="T9" s="98">
        <f t="shared" si="1"/>
        <v>636.666666666667</v>
      </c>
      <c r="U9" s="99">
        <f>(T9-601.17)/601.17*100</f>
        <v>5.90459714667511</v>
      </c>
      <c r="V9" s="6">
        <v>3</v>
      </c>
      <c r="W9" s="317"/>
    </row>
    <row r="10" spans="1:23" ht="18" customHeight="1">
      <c r="A10" s="310"/>
      <c r="B10" s="310"/>
      <c r="C10" s="357"/>
      <c r="D10" s="86" t="s">
        <v>30</v>
      </c>
      <c r="E10" s="84">
        <f aca="true" t="shared" si="2" ref="E10:T10">AVERAGE(E3:E9)</f>
        <v>94.5671428571429</v>
      </c>
      <c r="F10" s="84">
        <f t="shared" si="2"/>
        <v>157.857142857143</v>
      </c>
      <c r="G10" s="84">
        <f t="shared" si="2"/>
        <v>5.63571428571429</v>
      </c>
      <c r="H10" s="84">
        <f t="shared" si="2"/>
        <v>30.6571428571429</v>
      </c>
      <c r="I10" s="84">
        <f t="shared" si="2"/>
        <v>478.83</v>
      </c>
      <c r="J10" s="84">
        <f t="shared" si="2"/>
        <v>22.3271428571429</v>
      </c>
      <c r="K10" s="84">
        <f t="shared" si="2"/>
        <v>73.6157142857143</v>
      </c>
      <c r="L10" s="84">
        <f t="shared" si="2"/>
        <v>119.474285714286</v>
      </c>
      <c r="M10" s="84">
        <f t="shared" si="2"/>
        <v>110.898571428571</v>
      </c>
      <c r="N10" s="84">
        <f t="shared" si="2"/>
        <v>92.6328571428571</v>
      </c>
      <c r="O10" s="84">
        <f t="shared" si="2"/>
        <v>27.9085714285714</v>
      </c>
      <c r="P10" s="93">
        <f t="shared" si="2"/>
        <v>12.9771428571429</v>
      </c>
      <c r="Q10" s="93">
        <f t="shared" si="2"/>
        <v>13.23</v>
      </c>
      <c r="R10" s="93">
        <f t="shared" si="2"/>
        <v>13.3257142857143</v>
      </c>
      <c r="S10" s="93">
        <f t="shared" si="2"/>
        <v>13.177619047619</v>
      </c>
      <c r="T10" s="98">
        <f t="shared" si="2"/>
        <v>658.880952380952</v>
      </c>
      <c r="U10" s="99">
        <f>(T10-641.19)/641.19*100</f>
        <v>2.7590811430235</v>
      </c>
      <c r="V10" s="6">
        <v>5</v>
      </c>
      <c r="W10" s="317"/>
    </row>
    <row r="11" spans="1:23" ht="18" customHeight="1">
      <c r="A11" s="325" t="s">
        <v>47</v>
      </c>
      <c r="B11" s="310"/>
      <c r="C11" s="319" t="s">
        <v>189</v>
      </c>
      <c r="D11" s="83" t="s">
        <v>190</v>
      </c>
      <c r="E11" s="14">
        <v>106</v>
      </c>
      <c r="F11" s="14">
        <v>161</v>
      </c>
      <c r="G11" s="14">
        <v>5.2</v>
      </c>
      <c r="H11" s="14">
        <v>25</v>
      </c>
      <c r="I11" s="14">
        <v>380.8</v>
      </c>
      <c r="J11" s="14">
        <v>19.7</v>
      </c>
      <c r="K11" s="14">
        <v>78.8</v>
      </c>
      <c r="L11" s="14">
        <v>143.4</v>
      </c>
      <c r="M11" s="14">
        <v>137.8</v>
      </c>
      <c r="N11" s="14">
        <v>96.1</v>
      </c>
      <c r="O11" s="14">
        <v>27</v>
      </c>
      <c r="P11" s="14">
        <v>15.19</v>
      </c>
      <c r="Q11" s="14">
        <v>15.19</v>
      </c>
      <c r="R11" s="14">
        <v>14.84</v>
      </c>
      <c r="S11" s="14">
        <v>15.07</v>
      </c>
      <c r="T11" s="14">
        <v>753.6</v>
      </c>
      <c r="U11" s="100">
        <v>-0.63</v>
      </c>
      <c r="V11" s="14">
        <v>12</v>
      </c>
      <c r="W11" s="317"/>
    </row>
    <row r="12" spans="1:23" ht="18" customHeight="1">
      <c r="A12" s="310"/>
      <c r="B12" s="310"/>
      <c r="C12" s="319"/>
      <c r="D12" s="83" t="s">
        <v>191</v>
      </c>
      <c r="E12" s="14">
        <v>112</v>
      </c>
      <c r="F12" s="14">
        <v>164</v>
      </c>
      <c r="G12" s="14">
        <v>9.3</v>
      </c>
      <c r="H12" s="14">
        <v>36.6</v>
      </c>
      <c r="I12" s="14">
        <v>293.5</v>
      </c>
      <c r="J12" s="14">
        <v>25</v>
      </c>
      <c r="K12" s="14">
        <v>68.4</v>
      </c>
      <c r="L12" s="14">
        <v>120.9</v>
      </c>
      <c r="M12" s="14">
        <v>114.7</v>
      </c>
      <c r="N12" s="14">
        <v>94.9</v>
      </c>
      <c r="O12" s="14">
        <v>29.18</v>
      </c>
      <c r="P12" s="14">
        <v>13.72</v>
      </c>
      <c r="Q12" s="14">
        <v>13.42</v>
      </c>
      <c r="R12" s="14">
        <v>13.72</v>
      </c>
      <c r="S12" s="14">
        <v>13.62</v>
      </c>
      <c r="T12" s="14">
        <v>681</v>
      </c>
      <c r="U12" s="71">
        <f>(T12-668.17)/668.17*100</f>
        <v>1.92017001661254</v>
      </c>
      <c r="V12" s="14">
        <v>5</v>
      </c>
      <c r="W12" s="317"/>
    </row>
    <row r="13" spans="1:23" ht="18" customHeight="1">
      <c r="A13" s="310"/>
      <c r="B13" s="310"/>
      <c r="C13" s="319"/>
      <c r="D13" s="83" t="s">
        <v>192</v>
      </c>
      <c r="E13" s="14">
        <v>101.2</v>
      </c>
      <c r="F13" s="14">
        <v>156</v>
      </c>
      <c r="G13" s="14">
        <v>6.9</v>
      </c>
      <c r="H13" s="14">
        <v>40.7</v>
      </c>
      <c r="I13" s="14">
        <v>490</v>
      </c>
      <c r="J13" s="14">
        <v>23.5</v>
      </c>
      <c r="K13" s="14">
        <v>57.7</v>
      </c>
      <c r="L13" s="14">
        <v>108.19</v>
      </c>
      <c r="M13" s="14">
        <v>103.54</v>
      </c>
      <c r="N13" s="14">
        <v>95.7</v>
      </c>
      <c r="O13" s="14">
        <v>27.33</v>
      </c>
      <c r="P13" s="14">
        <v>13.51</v>
      </c>
      <c r="Q13" s="14">
        <v>12.14</v>
      </c>
      <c r="R13" s="14">
        <v>11.19</v>
      </c>
      <c r="S13" s="14">
        <v>12.28</v>
      </c>
      <c r="T13" s="14">
        <v>614</v>
      </c>
      <c r="U13" s="71">
        <f>(T13-649.5)/649.5*100</f>
        <v>-5.4657428791378</v>
      </c>
      <c r="V13" s="14">
        <v>10</v>
      </c>
      <c r="W13" s="317"/>
    </row>
    <row r="14" spans="1:23" ht="18" customHeight="1">
      <c r="A14" s="310"/>
      <c r="B14" s="310"/>
      <c r="C14" s="319"/>
      <c r="D14" s="83" t="s">
        <v>193</v>
      </c>
      <c r="E14" s="14">
        <v>109.6</v>
      </c>
      <c r="F14" s="14">
        <v>168</v>
      </c>
      <c r="G14" s="14">
        <v>4.65</v>
      </c>
      <c r="H14" s="14">
        <v>27.17</v>
      </c>
      <c r="I14" s="14">
        <v>484.39</v>
      </c>
      <c r="J14" s="14">
        <v>18.65</v>
      </c>
      <c r="K14" s="14">
        <v>68.64</v>
      </c>
      <c r="L14" s="14">
        <v>143.45</v>
      </c>
      <c r="M14" s="14">
        <v>133.9</v>
      </c>
      <c r="N14" s="14">
        <v>93.35</v>
      </c>
      <c r="O14" s="14">
        <v>28.58</v>
      </c>
      <c r="P14" s="14">
        <v>13.44</v>
      </c>
      <c r="Q14" s="14">
        <v>13.75</v>
      </c>
      <c r="R14" s="14">
        <v>13.55</v>
      </c>
      <c r="S14" s="14">
        <v>13.58</v>
      </c>
      <c r="T14" s="14">
        <v>679</v>
      </c>
      <c r="U14" s="100">
        <v>6.26</v>
      </c>
      <c r="V14" s="14">
        <v>6</v>
      </c>
      <c r="W14" s="317"/>
    </row>
    <row r="15" spans="1:23" ht="18" customHeight="1">
      <c r="A15" s="310"/>
      <c r="B15" s="310"/>
      <c r="C15" s="319"/>
      <c r="D15" s="83" t="s">
        <v>183</v>
      </c>
      <c r="E15" s="14">
        <v>104.8</v>
      </c>
      <c r="F15" s="14">
        <v>160</v>
      </c>
      <c r="G15" s="14">
        <v>4.5</v>
      </c>
      <c r="H15" s="14">
        <v>30.2</v>
      </c>
      <c r="I15" s="14">
        <v>671.1</v>
      </c>
      <c r="J15" s="14">
        <v>23.1</v>
      </c>
      <c r="K15" s="14">
        <v>76.5</v>
      </c>
      <c r="L15" s="14">
        <v>123</v>
      </c>
      <c r="M15" s="14">
        <v>109.6</v>
      </c>
      <c r="N15" s="14">
        <v>89.1</v>
      </c>
      <c r="O15" s="14">
        <v>27.3</v>
      </c>
      <c r="P15" s="14">
        <v>13.7</v>
      </c>
      <c r="Q15" s="14">
        <v>13.56</v>
      </c>
      <c r="R15" s="14">
        <v>13.61</v>
      </c>
      <c r="S15" s="14">
        <v>13.62</v>
      </c>
      <c r="T15" s="14">
        <v>681.2</v>
      </c>
      <c r="U15" s="71">
        <f>(T15-637.7)/637.7*100</f>
        <v>6.8213893680414</v>
      </c>
      <c r="V15" s="14">
        <v>1</v>
      </c>
      <c r="W15" s="317"/>
    </row>
    <row r="16" spans="1:23" ht="18" customHeight="1">
      <c r="A16" s="310"/>
      <c r="B16" s="310"/>
      <c r="C16" s="319"/>
      <c r="D16" s="83" t="s">
        <v>109</v>
      </c>
      <c r="E16" s="14">
        <v>108.1</v>
      </c>
      <c r="F16" s="14">
        <v>166</v>
      </c>
      <c r="G16" s="14">
        <v>6.5</v>
      </c>
      <c r="H16" s="14">
        <v>30.9</v>
      </c>
      <c r="I16" s="14">
        <v>375.38</v>
      </c>
      <c r="J16" s="14">
        <v>22.3</v>
      </c>
      <c r="K16" s="14">
        <v>72.17</v>
      </c>
      <c r="L16" s="14">
        <v>136.6</v>
      </c>
      <c r="M16" s="14">
        <v>126.1</v>
      </c>
      <c r="N16" s="14">
        <v>92.3</v>
      </c>
      <c r="O16" s="14">
        <v>27.86</v>
      </c>
      <c r="P16" s="14">
        <v>13.66</v>
      </c>
      <c r="Q16" s="14">
        <v>13.96</v>
      </c>
      <c r="R16" s="14">
        <v>13.51</v>
      </c>
      <c r="S16" s="14">
        <v>13.71</v>
      </c>
      <c r="T16" s="14">
        <v>685.5</v>
      </c>
      <c r="U16" s="71">
        <f>(T16-622)/622*100</f>
        <v>10.2090032154341</v>
      </c>
      <c r="V16" s="14">
        <v>1</v>
      </c>
      <c r="W16" s="317"/>
    </row>
    <row r="17" spans="1:23" ht="18" customHeight="1">
      <c r="A17" s="310"/>
      <c r="B17" s="310"/>
      <c r="C17" s="319"/>
      <c r="D17" s="83" t="s">
        <v>194</v>
      </c>
      <c r="E17" s="14">
        <v>98</v>
      </c>
      <c r="F17" s="14">
        <v>159</v>
      </c>
      <c r="G17" s="14">
        <v>6.6</v>
      </c>
      <c r="H17" s="14">
        <v>24</v>
      </c>
      <c r="I17" s="14">
        <v>363.64</v>
      </c>
      <c r="J17" s="14">
        <v>23</v>
      </c>
      <c r="K17" s="14">
        <v>95.83</v>
      </c>
      <c r="L17" s="14">
        <v>125.2</v>
      </c>
      <c r="M17" s="14">
        <v>117.1</v>
      </c>
      <c r="N17" s="14">
        <v>93.53</v>
      </c>
      <c r="O17" s="14">
        <v>27.73</v>
      </c>
      <c r="P17" s="14">
        <v>14.05</v>
      </c>
      <c r="Q17" s="14">
        <v>14.3</v>
      </c>
      <c r="R17" s="14">
        <v>14.15</v>
      </c>
      <c r="S17" s="14">
        <v>14.17</v>
      </c>
      <c r="T17" s="14">
        <v>708.33</v>
      </c>
      <c r="U17" s="71">
        <f>(T17-634.17)/634.17*100</f>
        <v>11.6940252613653</v>
      </c>
      <c r="V17" s="14">
        <v>2</v>
      </c>
      <c r="W17" s="317"/>
    </row>
    <row r="18" spans="1:23" ht="18" customHeight="1">
      <c r="A18" s="310"/>
      <c r="B18" s="310"/>
      <c r="C18" s="319"/>
      <c r="D18" s="83" t="s">
        <v>185</v>
      </c>
      <c r="E18" s="14">
        <v>105</v>
      </c>
      <c r="F18" s="14">
        <v>159</v>
      </c>
      <c r="G18" s="14">
        <v>5.1</v>
      </c>
      <c r="H18" s="14">
        <v>28.1</v>
      </c>
      <c r="I18" s="14">
        <v>451</v>
      </c>
      <c r="J18" s="14">
        <v>20.2</v>
      </c>
      <c r="K18" s="14">
        <v>71.9</v>
      </c>
      <c r="L18" s="14">
        <v>140.8</v>
      </c>
      <c r="M18" s="14">
        <v>137.1</v>
      </c>
      <c r="N18" s="14">
        <v>97.4</v>
      </c>
      <c r="O18" s="14">
        <v>29.4</v>
      </c>
      <c r="P18" s="14">
        <v>14</v>
      </c>
      <c r="Q18" s="14">
        <v>13.7</v>
      </c>
      <c r="R18" s="14">
        <v>13.8</v>
      </c>
      <c r="S18" s="14">
        <v>13.82</v>
      </c>
      <c r="T18" s="14">
        <v>691.2</v>
      </c>
      <c r="U18" s="100">
        <v>-2.5</v>
      </c>
      <c r="V18" s="6">
        <v>7</v>
      </c>
      <c r="W18" s="317"/>
    </row>
    <row r="19" spans="1:23" ht="18" customHeight="1">
      <c r="A19" s="310"/>
      <c r="B19" s="310"/>
      <c r="C19" s="319"/>
      <c r="D19" s="83" t="s">
        <v>187</v>
      </c>
      <c r="E19" s="14">
        <v>108</v>
      </c>
      <c r="F19" s="14">
        <v>162</v>
      </c>
      <c r="G19" s="14">
        <v>6</v>
      </c>
      <c r="H19" s="14">
        <v>25.7</v>
      </c>
      <c r="I19" s="14">
        <v>328.3</v>
      </c>
      <c r="J19" s="14">
        <v>18.2</v>
      </c>
      <c r="K19" s="14">
        <v>70.8</v>
      </c>
      <c r="L19" s="14">
        <v>142.4</v>
      </c>
      <c r="M19" s="14">
        <v>130.1</v>
      </c>
      <c r="N19" s="14">
        <v>91.4</v>
      </c>
      <c r="O19" s="14">
        <v>29</v>
      </c>
      <c r="P19" s="14">
        <v>13.38</v>
      </c>
      <c r="Q19" s="14">
        <v>15.22</v>
      </c>
      <c r="R19" s="14">
        <v>14.16</v>
      </c>
      <c r="S19" s="14">
        <v>14.25</v>
      </c>
      <c r="T19" s="14">
        <v>712.3</v>
      </c>
      <c r="U19" s="100">
        <f>(T19-676.8)/676.8*100</f>
        <v>5.24527186761229</v>
      </c>
      <c r="V19" s="14">
        <v>2</v>
      </c>
      <c r="W19" s="317"/>
    </row>
    <row r="20" spans="1:23" ht="18" customHeight="1">
      <c r="A20" s="310"/>
      <c r="B20" s="310"/>
      <c r="C20" s="319"/>
      <c r="D20" s="87" t="s">
        <v>30</v>
      </c>
      <c r="E20" s="22">
        <v>105.855555555556</v>
      </c>
      <c r="F20" s="22">
        <v>161.666666666667</v>
      </c>
      <c r="G20" s="22">
        <v>6.08333333333333</v>
      </c>
      <c r="H20" s="22">
        <v>29.8188888888889</v>
      </c>
      <c r="I20" s="22">
        <v>426.456666666667</v>
      </c>
      <c r="J20" s="22">
        <v>21.5166666666667</v>
      </c>
      <c r="K20" s="22">
        <v>73.4155555555556</v>
      </c>
      <c r="L20" s="22">
        <v>131.548888888889</v>
      </c>
      <c r="M20" s="22">
        <v>123.326666666667</v>
      </c>
      <c r="N20" s="22">
        <v>93.7533333333333</v>
      </c>
      <c r="O20" s="22">
        <v>28.1533333333333</v>
      </c>
      <c r="P20" s="57">
        <v>13.85</v>
      </c>
      <c r="Q20" s="57">
        <v>13.9155555555556</v>
      </c>
      <c r="R20" s="57">
        <v>13.6144444444444</v>
      </c>
      <c r="S20" s="57">
        <v>13.7911111111111</v>
      </c>
      <c r="T20" s="22">
        <v>689.57</v>
      </c>
      <c r="U20" s="22">
        <f>(T20-665.8)/665.8*100</f>
        <v>3.57014118353861</v>
      </c>
      <c r="V20" s="52">
        <v>5</v>
      </c>
      <c r="W20" s="317"/>
    </row>
    <row r="21" spans="1:23" ht="18" customHeight="1">
      <c r="A21" s="325" t="s">
        <v>51</v>
      </c>
      <c r="B21" s="310"/>
      <c r="C21" s="358" t="s">
        <v>195</v>
      </c>
      <c r="D21" s="88" t="s">
        <v>98</v>
      </c>
      <c r="E21" s="34">
        <v>96.3</v>
      </c>
      <c r="F21" s="34">
        <v>156</v>
      </c>
      <c r="G21" s="34">
        <v>5.1</v>
      </c>
      <c r="H21" s="34">
        <v>29.63</v>
      </c>
      <c r="I21" s="34">
        <v>480.98</v>
      </c>
      <c r="J21" s="34">
        <v>22.1</v>
      </c>
      <c r="K21" s="34">
        <v>74.59</v>
      </c>
      <c r="L21" s="34">
        <v>136.1</v>
      </c>
      <c r="M21" s="34">
        <v>126.4</v>
      </c>
      <c r="N21" s="34">
        <v>92.9</v>
      </c>
      <c r="O21" s="34">
        <v>27.95</v>
      </c>
      <c r="P21" s="34">
        <v>436.66</v>
      </c>
      <c r="Q21" s="34">
        <v>431.92</v>
      </c>
      <c r="R21" s="34">
        <v>434.29</v>
      </c>
      <c r="S21" s="34">
        <v>673.15</v>
      </c>
      <c r="T21" s="34">
        <v>8.31</v>
      </c>
      <c r="U21" s="360">
        <v>2</v>
      </c>
      <c r="V21" s="358" t="s">
        <v>196</v>
      </c>
      <c r="W21" s="317"/>
    </row>
    <row r="22" spans="1:23" ht="18" customHeight="1">
      <c r="A22" s="310"/>
      <c r="B22" s="310"/>
      <c r="C22" s="358"/>
      <c r="D22" s="88" t="s">
        <v>197</v>
      </c>
      <c r="E22" s="34">
        <v>99.1</v>
      </c>
      <c r="F22" s="34">
        <v>162</v>
      </c>
      <c r="G22" s="34">
        <v>9</v>
      </c>
      <c r="H22" s="34">
        <v>28</v>
      </c>
      <c r="I22" s="34">
        <v>211.1</v>
      </c>
      <c r="J22" s="34">
        <v>17.2</v>
      </c>
      <c r="K22" s="34">
        <v>61.4</v>
      </c>
      <c r="L22" s="34">
        <v>147.4</v>
      </c>
      <c r="M22" s="34">
        <v>142.8</v>
      </c>
      <c r="N22" s="34">
        <v>96.9</v>
      </c>
      <c r="O22" s="34">
        <v>33</v>
      </c>
      <c r="P22" s="34">
        <v>184.5</v>
      </c>
      <c r="Q22" s="34">
        <v>182.67</v>
      </c>
      <c r="R22" s="34">
        <v>183.59</v>
      </c>
      <c r="S22" s="34">
        <v>702.59</v>
      </c>
      <c r="T22" s="34">
        <v>3.91</v>
      </c>
      <c r="U22" s="360"/>
      <c r="V22" s="358"/>
      <c r="W22" s="317"/>
    </row>
    <row r="23" spans="1:23" ht="18" customHeight="1">
      <c r="A23" s="310"/>
      <c r="B23" s="310"/>
      <c r="C23" s="358"/>
      <c r="D23" s="88" t="s">
        <v>198</v>
      </c>
      <c r="E23" s="34">
        <v>102.4</v>
      </c>
      <c r="F23" s="34">
        <v>170</v>
      </c>
      <c r="G23" s="34">
        <v>8.5</v>
      </c>
      <c r="H23" s="34">
        <v>26.1</v>
      </c>
      <c r="I23" s="34">
        <v>207</v>
      </c>
      <c r="J23" s="34">
        <v>22.5</v>
      </c>
      <c r="K23" s="34">
        <v>86.2</v>
      </c>
      <c r="L23" s="34">
        <v>135.9</v>
      </c>
      <c r="M23" s="34">
        <v>117.2</v>
      </c>
      <c r="N23" s="34">
        <v>86.3</v>
      </c>
      <c r="O23" s="34">
        <v>29.5</v>
      </c>
      <c r="P23" s="34">
        <v>176.83</v>
      </c>
      <c r="Q23" s="34">
        <v>173.97</v>
      </c>
      <c r="R23" s="34">
        <v>175.4</v>
      </c>
      <c r="S23" s="34">
        <v>701.6</v>
      </c>
      <c r="T23" s="34">
        <v>1.01</v>
      </c>
      <c r="U23" s="360"/>
      <c r="V23" s="358"/>
      <c r="W23" s="317"/>
    </row>
    <row r="24" spans="1:23" ht="18" customHeight="1">
      <c r="A24" s="310"/>
      <c r="B24" s="310"/>
      <c r="C24" s="358"/>
      <c r="D24" s="88" t="s">
        <v>199</v>
      </c>
      <c r="E24" s="34">
        <v>103</v>
      </c>
      <c r="F24" s="34">
        <v>156</v>
      </c>
      <c r="G24" s="34">
        <v>7.4</v>
      </c>
      <c r="H24" s="34">
        <v>29.5</v>
      </c>
      <c r="I24" s="34">
        <v>298.6</v>
      </c>
      <c r="J24" s="34">
        <v>18.8</v>
      </c>
      <c r="K24" s="34">
        <v>63.7</v>
      </c>
      <c r="L24" s="34">
        <v>130.2</v>
      </c>
      <c r="M24" s="34">
        <v>122.6</v>
      </c>
      <c r="N24" s="34">
        <v>94.2</v>
      </c>
      <c r="O24" s="34">
        <v>30.6</v>
      </c>
      <c r="P24" s="34">
        <v>235.3</v>
      </c>
      <c r="Q24" s="34">
        <v>248.7</v>
      </c>
      <c r="R24" s="34">
        <v>242</v>
      </c>
      <c r="S24" s="34">
        <v>718.7</v>
      </c>
      <c r="T24" s="34">
        <v>2.67</v>
      </c>
      <c r="U24" s="360"/>
      <c r="V24" s="358"/>
      <c r="W24" s="317"/>
    </row>
    <row r="25" spans="1:23" ht="18" customHeight="1">
      <c r="A25" s="310"/>
      <c r="B25" s="310"/>
      <c r="C25" s="358"/>
      <c r="D25" s="88" t="s">
        <v>200</v>
      </c>
      <c r="E25" s="34">
        <v>100</v>
      </c>
      <c r="F25" s="34">
        <v>160</v>
      </c>
      <c r="G25" s="34">
        <v>6.2</v>
      </c>
      <c r="H25" s="34">
        <v>35.8</v>
      </c>
      <c r="I25" s="34">
        <v>577.42</v>
      </c>
      <c r="J25" s="34">
        <v>21.6</v>
      </c>
      <c r="K25" s="34">
        <v>60.34</v>
      </c>
      <c r="L25" s="34">
        <v>169.69</v>
      </c>
      <c r="M25" s="34">
        <v>167.42</v>
      </c>
      <c r="N25" s="34">
        <v>98.66</v>
      </c>
      <c r="O25" s="34">
        <v>29.8</v>
      </c>
      <c r="P25" s="34">
        <v>412.28</v>
      </c>
      <c r="Q25" s="34">
        <v>396.67</v>
      </c>
      <c r="R25" s="34">
        <v>404.47</v>
      </c>
      <c r="S25" s="34">
        <v>808.95</v>
      </c>
      <c r="T25" s="34">
        <v>25.3</v>
      </c>
      <c r="U25" s="360"/>
      <c r="V25" s="358"/>
      <c r="W25" s="317"/>
    </row>
    <row r="26" spans="1:23" ht="18" customHeight="1">
      <c r="A26" s="310"/>
      <c r="B26" s="310"/>
      <c r="C26" s="358"/>
      <c r="D26" s="88" t="s">
        <v>201</v>
      </c>
      <c r="E26" s="34">
        <v>101.8</v>
      </c>
      <c r="F26" s="34">
        <v>160</v>
      </c>
      <c r="G26" s="34">
        <v>10.1</v>
      </c>
      <c r="H26" s="34">
        <v>50.2</v>
      </c>
      <c r="I26" s="34">
        <v>397</v>
      </c>
      <c r="J26" s="34">
        <v>25.6</v>
      </c>
      <c r="K26" s="34">
        <v>51</v>
      </c>
      <c r="L26" s="34">
        <v>119.1</v>
      </c>
      <c r="M26" s="34">
        <v>112.4</v>
      </c>
      <c r="N26" s="34">
        <v>94.4</v>
      </c>
      <c r="O26" s="34">
        <v>28.6</v>
      </c>
      <c r="P26" s="34">
        <v>184.6</v>
      </c>
      <c r="Q26" s="34">
        <v>171.2</v>
      </c>
      <c r="R26" s="34">
        <v>177.9</v>
      </c>
      <c r="S26" s="34">
        <v>711.6</v>
      </c>
      <c r="T26" s="34">
        <v>4.46</v>
      </c>
      <c r="U26" s="360"/>
      <c r="V26" s="358"/>
      <c r="W26" s="317"/>
    </row>
    <row r="27" spans="1:23" ht="18" customHeight="1">
      <c r="A27" s="310"/>
      <c r="B27" s="310"/>
      <c r="C27" s="358"/>
      <c r="D27" s="89" t="s">
        <v>202</v>
      </c>
      <c r="E27" s="90">
        <f aca="true" t="shared" si="3" ref="E27:T27">AVERAGE(E21:E26)</f>
        <v>100.433333333333</v>
      </c>
      <c r="F27" s="90">
        <f t="shared" si="3"/>
        <v>160.666666666667</v>
      </c>
      <c r="G27" s="90">
        <f t="shared" si="3"/>
        <v>7.71666666666667</v>
      </c>
      <c r="H27" s="90">
        <f t="shared" si="3"/>
        <v>33.205</v>
      </c>
      <c r="I27" s="90">
        <f t="shared" si="3"/>
        <v>362.016666666667</v>
      </c>
      <c r="J27" s="90">
        <f t="shared" si="3"/>
        <v>21.3</v>
      </c>
      <c r="K27" s="90">
        <f t="shared" si="3"/>
        <v>66.205</v>
      </c>
      <c r="L27" s="90">
        <f t="shared" si="3"/>
        <v>139.731666666667</v>
      </c>
      <c r="M27" s="90">
        <f t="shared" si="3"/>
        <v>131.47</v>
      </c>
      <c r="N27" s="90">
        <f t="shared" si="3"/>
        <v>93.8933333333333</v>
      </c>
      <c r="O27" s="90">
        <f t="shared" si="3"/>
        <v>29.9083333333333</v>
      </c>
      <c r="P27" s="90">
        <f t="shared" si="3"/>
        <v>271.695</v>
      </c>
      <c r="Q27" s="90">
        <f t="shared" si="3"/>
        <v>267.521666666667</v>
      </c>
      <c r="R27" s="90">
        <f t="shared" si="3"/>
        <v>269.608333333333</v>
      </c>
      <c r="S27" s="90">
        <f t="shared" si="3"/>
        <v>719.431666666667</v>
      </c>
      <c r="T27" s="90">
        <f t="shared" si="3"/>
        <v>7.61</v>
      </c>
      <c r="U27" s="360"/>
      <c r="V27" s="358"/>
      <c r="W27" s="317"/>
    </row>
  </sheetData>
  <sheetProtection/>
  <mergeCells count="15">
    <mergeCell ref="U21:U27"/>
    <mergeCell ref="V21:V27"/>
    <mergeCell ref="W1:W2"/>
    <mergeCell ref="W3:W27"/>
    <mergeCell ref="P1:S1"/>
    <mergeCell ref="C3:C10"/>
    <mergeCell ref="C11:C20"/>
    <mergeCell ref="C21:C27"/>
    <mergeCell ref="D1:D2"/>
    <mergeCell ref="A1:A2"/>
    <mergeCell ref="A3:A10"/>
    <mergeCell ref="A11:A20"/>
    <mergeCell ref="A21:A27"/>
    <mergeCell ref="B1:B2"/>
    <mergeCell ref="B3:B27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G1">
      <selection activeCell="W3" sqref="W3:W25"/>
    </sheetView>
  </sheetViews>
  <sheetFormatPr defaultColWidth="9.00390625" defaultRowHeight="15"/>
  <sheetData>
    <row r="1" spans="1:23" ht="16.5" customHeight="1">
      <c r="A1" s="310" t="s">
        <v>0</v>
      </c>
      <c r="B1" s="310" t="s">
        <v>1</v>
      </c>
      <c r="C1" s="6" t="s">
        <v>2</v>
      </c>
      <c r="D1" s="35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11</v>
      </c>
      <c r="N1" s="6" t="s">
        <v>12</v>
      </c>
      <c r="O1" s="6" t="s">
        <v>13</v>
      </c>
      <c r="P1" s="324" t="s">
        <v>14</v>
      </c>
      <c r="Q1" s="336"/>
      <c r="R1" s="336"/>
      <c r="S1" s="336"/>
      <c r="T1" s="6" t="s">
        <v>15</v>
      </c>
      <c r="U1" s="71" t="s">
        <v>16</v>
      </c>
      <c r="V1" s="6" t="s">
        <v>17</v>
      </c>
      <c r="W1" s="316" t="s">
        <v>18</v>
      </c>
    </row>
    <row r="2" spans="1:23" ht="16.5" customHeight="1">
      <c r="A2" s="310"/>
      <c r="B2" s="310"/>
      <c r="C2" s="6" t="s">
        <v>19</v>
      </c>
      <c r="D2" s="326"/>
      <c r="E2" s="54" t="s">
        <v>20</v>
      </c>
      <c r="F2" s="54" t="s">
        <v>21</v>
      </c>
      <c r="G2" s="54" t="s">
        <v>22</v>
      </c>
      <c r="H2" s="54" t="s">
        <v>22</v>
      </c>
      <c r="I2" s="54" t="s">
        <v>23</v>
      </c>
      <c r="J2" s="54" t="s">
        <v>22</v>
      </c>
      <c r="K2" s="54" t="s">
        <v>23</v>
      </c>
      <c r="L2" s="54" t="s">
        <v>24</v>
      </c>
      <c r="M2" s="54" t="s">
        <v>25</v>
      </c>
      <c r="N2" s="54" t="s">
        <v>23</v>
      </c>
      <c r="O2" s="54" t="s">
        <v>26</v>
      </c>
      <c r="P2" s="65" t="s">
        <v>27</v>
      </c>
      <c r="Q2" s="65" t="s">
        <v>28</v>
      </c>
      <c r="R2" s="65" t="s">
        <v>29</v>
      </c>
      <c r="S2" s="65" t="s">
        <v>30</v>
      </c>
      <c r="T2" s="54" t="s">
        <v>31</v>
      </c>
      <c r="U2" s="71" t="s">
        <v>32</v>
      </c>
      <c r="V2" s="6" t="s">
        <v>33</v>
      </c>
      <c r="W2" s="317"/>
    </row>
    <row r="3" spans="1:23" ht="16.5" customHeight="1">
      <c r="A3" s="325" t="s">
        <v>34</v>
      </c>
      <c r="B3" s="325" t="s">
        <v>203</v>
      </c>
      <c r="C3" s="357" t="s">
        <v>204</v>
      </c>
      <c r="D3" s="6" t="s">
        <v>109</v>
      </c>
      <c r="E3" s="58">
        <v>90.3</v>
      </c>
      <c r="F3" s="58">
        <v>142</v>
      </c>
      <c r="G3" s="58">
        <v>5.5</v>
      </c>
      <c r="H3" s="58">
        <v>27.6</v>
      </c>
      <c r="I3" s="58">
        <v>401.82</v>
      </c>
      <c r="J3" s="58">
        <v>22.32</v>
      </c>
      <c r="K3" s="58">
        <v>80.87</v>
      </c>
      <c r="L3" s="58">
        <v>131.92</v>
      </c>
      <c r="M3" s="58">
        <v>120.11</v>
      </c>
      <c r="N3" s="58">
        <v>91.05</v>
      </c>
      <c r="O3" s="58">
        <v>27.56</v>
      </c>
      <c r="P3" s="66">
        <v>13.06</v>
      </c>
      <c r="Q3" s="66">
        <v>12.48</v>
      </c>
      <c r="R3" s="66">
        <v>12.65</v>
      </c>
      <c r="S3" s="66">
        <v>12.73</v>
      </c>
      <c r="T3" s="58">
        <v>636.5</v>
      </c>
      <c r="U3" s="5">
        <f>(T3-610)/610*100</f>
        <v>4.34426229508197</v>
      </c>
      <c r="V3" s="18">
        <v>3</v>
      </c>
      <c r="W3" s="318" t="s">
        <v>205</v>
      </c>
    </row>
    <row r="4" spans="1:23" ht="16.5" customHeight="1">
      <c r="A4" s="310"/>
      <c r="B4" s="310"/>
      <c r="C4" s="367"/>
      <c r="D4" s="6" t="s">
        <v>185</v>
      </c>
      <c r="E4" s="58">
        <v>94</v>
      </c>
      <c r="F4" s="58">
        <v>144</v>
      </c>
      <c r="G4" s="58">
        <v>5.6</v>
      </c>
      <c r="H4" s="58">
        <v>32.6</v>
      </c>
      <c r="I4" s="58">
        <v>482.1</v>
      </c>
      <c r="J4" s="58">
        <v>23.7</v>
      </c>
      <c r="K4" s="58">
        <v>72.7</v>
      </c>
      <c r="L4" s="58">
        <v>117.3</v>
      </c>
      <c r="M4" s="58">
        <v>109.7</v>
      </c>
      <c r="N4" s="58">
        <v>93.5</v>
      </c>
      <c r="O4" s="58">
        <v>28.7</v>
      </c>
      <c r="P4" s="66">
        <v>14.53</v>
      </c>
      <c r="Q4" s="66">
        <v>14.13</v>
      </c>
      <c r="R4" s="66">
        <v>14.02</v>
      </c>
      <c r="S4" s="66">
        <v>14.23</v>
      </c>
      <c r="T4" s="58">
        <v>711.27</v>
      </c>
      <c r="U4" s="5">
        <f>(T4-697.83)/697.83*100</f>
        <v>1.92597050857658</v>
      </c>
      <c r="V4" s="54">
        <v>4</v>
      </c>
      <c r="W4" s="335"/>
    </row>
    <row r="5" spans="1:23" ht="16.5" customHeight="1">
      <c r="A5" s="310"/>
      <c r="B5" s="310"/>
      <c r="C5" s="367"/>
      <c r="D5" s="6" t="s">
        <v>206</v>
      </c>
      <c r="E5" s="58">
        <v>101.4</v>
      </c>
      <c r="F5" s="58">
        <v>149</v>
      </c>
      <c r="G5" s="58">
        <v>3.85</v>
      </c>
      <c r="H5" s="58">
        <v>25.4</v>
      </c>
      <c r="I5" s="58">
        <v>559.74</v>
      </c>
      <c r="J5" s="58">
        <v>20.6</v>
      </c>
      <c r="K5" s="58">
        <v>81.1</v>
      </c>
      <c r="L5" s="58">
        <v>129.36</v>
      </c>
      <c r="M5" s="58">
        <v>120.74</v>
      </c>
      <c r="N5" s="58">
        <v>93.34</v>
      </c>
      <c r="O5" s="58">
        <v>30.66</v>
      </c>
      <c r="P5" s="66">
        <v>14.14</v>
      </c>
      <c r="Q5" s="66">
        <v>14.01</v>
      </c>
      <c r="R5" s="66">
        <v>14.17</v>
      </c>
      <c r="S5" s="66">
        <v>14.107</v>
      </c>
      <c r="T5" s="58">
        <v>705.33</v>
      </c>
      <c r="U5" s="5">
        <f>(T5-667.17)/667.17*100</f>
        <v>5.71968164036154</v>
      </c>
      <c r="V5" s="18">
        <v>2</v>
      </c>
      <c r="W5" s="335"/>
    </row>
    <row r="6" spans="1:23" ht="16.5" customHeight="1">
      <c r="A6" s="310"/>
      <c r="B6" s="310"/>
      <c r="C6" s="367"/>
      <c r="D6" s="6" t="s">
        <v>187</v>
      </c>
      <c r="E6" s="58">
        <v>96</v>
      </c>
      <c r="F6" s="58">
        <v>149</v>
      </c>
      <c r="G6" s="58">
        <v>6</v>
      </c>
      <c r="H6" s="58">
        <v>26.6</v>
      </c>
      <c r="I6" s="58">
        <v>3.43</v>
      </c>
      <c r="J6" s="58">
        <v>20.3</v>
      </c>
      <c r="K6" s="58">
        <v>0.763</v>
      </c>
      <c r="L6" s="58">
        <v>142.3</v>
      </c>
      <c r="M6" s="58">
        <v>127.5</v>
      </c>
      <c r="N6" s="58">
        <v>0.896</v>
      </c>
      <c r="O6" s="58">
        <v>27.2</v>
      </c>
      <c r="P6" s="66">
        <v>13.5</v>
      </c>
      <c r="Q6" s="66">
        <v>13.6</v>
      </c>
      <c r="R6" s="66">
        <v>13.5</v>
      </c>
      <c r="S6" s="66">
        <v>13.5</v>
      </c>
      <c r="T6" s="58">
        <v>675.3</v>
      </c>
      <c r="U6" s="5">
        <f>(T6-635.2)/635.2*100</f>
        <v>6.31297229219142</v>
      </c>
      <c r="V6" s="18">
        <v>1</v>
      </c>
      <c r="W6" s="335"/>
    </row>
    <row r="7" spans="1:23" ht="16.5" customHeight="1">
      <c r="A7" s="310"/>
      <c r="B7" s="310"/>
      <c r="C7" s="367"/>
      <c r="D7" s="6" t="s">
        <v>152</v>
      </c>
      <c r="E7" s="58">
        <v>90</v>
      </c>
      <c r="F7" s="58">
        <v>148</v>
      </c>
      <c r="G7" s="58">
        <v>6.8</v>
      </c>
      <c r="H7" s="58">
        <v>23.4</v>
      </c>
      <c r="I7" s="58">
        <v>344.12</v>
      </c>
      <c r="J7" s="58">
        <v>20.4</v>
      </c>
      <c r="K7" s="58">
        <v>87.18</v>
      </c>
      <c r="L7" s="58">
        <v>144.9</v>
      </c>
      <c r="M7" s="58">
        <v>127.3</v>
      </c>
      <c r="N7" s="58">
        <v>87.85</v>
      </c>
      <c r="O7" s="58">
        <v>27.79</v>
      </c>
      <c r="P7" s="66">
        <v>14.62</v>
      </c>
      <c r="Q7" s="66">
        <v>14.71</v>
      </c>
      <c r="R7" s="66">
        <v>14.66</v>
      </c>
      <c r="S7" s="66">
        <v>14.66</v>
      </c>
      <c r="T7" s="58">
        <v>733.13</v>
      </c>
      <c r="U7" s="5">
        <f>(T7-655.21)/655.21*100</f>
        <v>11.8923703850674</v>
      </c>
      <c r="V7" s="18">
        <v>1</v>
      </c>
      <c r="W7" s="335"/>
    </row>
    <row r="8" spans="1:23" ht="16.5" customHeight="1">
      <c r="A8" s="310"/>
      <c r="B8" s="310"/>
      <c r="C8" s="367"/>
      <c r="D8" s="6" t="s">
        <v>207</v>
      </c>
      <c r="E8" s="59">
        <v>85.4</v>
      </c>
      <c r="F8" s="59">
        <v>153</v>
      </c>
      <c r="G8" s="59">
        <v>11.6</v>
      </c>
      <c r="H8" s="59">
        <v>33.7</v>
      </c>
      <c r="I8" s="59">
        <v>291.6</v>
      </c>
      <c r="J8" s="59">
        <v>26.1</v>
      </c>
      <c r="K8" s="59">
        <v>77.3</v>
      </c>
      <c r="L8" s="59">
        <v>117.3</v>
      </c>
      <c r="M8" s="59">
        <v>106.2</v>
      </c>
      <c r="N8" s="59">
        <v>90.5</v>
      </c>
      <c r="O8" s="59">
        <v>28</v>
      </c>
      <c r="P8" s="67">
        <v>15.2</v>
      </c>
      <c r="Q8" s="67">
        <v>14.6</v>
      </c>
      <c r="R8" s="67">
        <v>15.2</v>
      </c>
      <c r="S8" s="67">
        <v>15</v>
      </c>
      <c r="T8" s="59">
        <v>749.7</v>
      </c>
      <c r="U8" s="72">
        <v>6.61262798634812</v>
      </c>
      <c r="V8" s="54">
        <v>1</v>
      </c>
      <c r="W8" s="335"/>
    </row>
    <row r="9" spans="1:23" ht="16.5" customHeight="1">
      <c r="A9" s="310"/>
      <c r="B9" s="310"/>
      <c r="C9" s="367"/>
      <c r="D9" s="29" t="s">
        <v>30</v>
      </c>
      <c r="E9" s="60">
        <f aca="true" t="shared" si="0" ref="E9:T9">AVERAGE(E3:E8)</f>
        <v>92.85</v>
      </c>
      <c r="F9" s="60">
        <f t="shared" si="0"/>
        <v>147.5</v>
      </c>
      <c r="G9" s="60">
        <f t="shared" si="0"/>
        <v>6.55833333333333</v>
      </c>
      <c r="H9" s="60">
        <f t="shared" si="0"/>
        <v>28.2166666666667</v>
      </c>
      <c r="I9" s="60">
        <f t="shared" si="0"/>
        <v>347.135</v>
      </c>
      <c r="J9" s="60">
        <f t="shared" si="0"/>
        <v>22.2366666666667</v>
      </c>
      <c r="K9" s="60">
        <f t="shared" si="0"/>
        <v>66.6521666666667</v>
      </c>
      <c r="L9" s="60">
        <f t="shared" si="0"/>
        <v>130.513333333333</v>
      </c>
      <c r="M9" s="60">
        <f t="shared" si="0"/>
        <v>118.591666666667</v>
      </c>
      <c r="N9" s="60">
        <f t="shared" si="0"/>
        <v>76.1893333333333</v>
      </c>
      <c r="O9" s="60">
        <f t="shared" si="0"/>
        <v>28.3183333333333</v>
      </c>
      <c r="P9" s="68">
        <f t="shared" si="0"/>
        <v>14.175</v>
      </c>
      <c r="Q9" s="68">
        <f t="shared" si="0"/>
        <v>13.9216666666667</v>
      </c>
      <c r="R9" s="68">
        <f t="shared" si="0"/>
        <v>14.0333333333333</v>
      </c>
      <c r="S9" s="68">
        <f t="shared" si="0"/>
        <v>14.0378333333333</v>
      </c>
      <c r="T9" s="60">
        <f t="shared" si="0"/>
        <v>701.871666666667</v>
      </c>
      <c r="U9" s="22">
        <v>6.1190908174579</v>
      </c>
      <c r="V9" s="73">
        <v>1</v>
      </c>
      <c r="W9" s="335"/>
    </row>
    <row r="10" spans="1:23" ht="16.5" customHeight="1">
      <c r="A10" s="325" t="s">
        <v>47</v>
      </c>
      <c r="B10" s="310"/>
      <c r="C10" s="368" t="s">
        <v>208</v>
      </c>
      <c r="D10" s="28" t="s">
        <v>152</v>
      </c>
      <c r="E10" s="61">
        <v>104</v>
      </c>
      <c r="F10" s="61">
        <v>153</v>
      </c>
      <c r="G10" s="61">
        <v>7</v>
      </c>
      <c r="H10" s="62">
        <v>23.2</v>
      </c>
      <c r="I10" s="62">
        <v>331.43</v>
      </c>
      <c r="J10" s="62">
        <v>21.25</v>
      </c>
      <c r="K10" s="62">
        <v>91.59</v>
      </c>
      <c r="L10" s="62">
        <v>159.2</v>
      </c>
      <c r="M10" s="62">
        <v>126.6</v>
      </c>
      <c r="N10" s="62">
        <v>79.52</v>
      </c>
      <c r="O10" s="62">
        <v>25.6</v>
      </c>
      <c r="P10" s="69">
        <v>13</v>
      </c>
      <c r="Q10" s="69">
        <v>13.05</v>
      </c>
      <c r="R10" s="69">
        <v>13.1</v>
      </c>
      <c r="S10" s="69">
        <v>13.05</v>
      </c>
      <c r="T10" s="62">
        <v>652.5</v>
      </c>
      <c r="U10" s="74">
        <v>-0.6</v>
      </c>
      <c r="V10" s="75">
        <v>8</v>
      </c>
      <c r="W10" s="335"/>
    </row>
    <row r="11" spans="1:23" ht="16.5" customHeight="1">
      <c r="A11" s="310"/>
      <c r="B11" s="310"/>
      <c r="C11" s="369"/>
      <c r="D11" s="28" t="s">
        <v>209</v>
      </c>
      <c r="E11" s="62">
        <v>98.7</v>
      </c>
      <c r="F11" s="62">
        <v>149</v>
      </c>
      <c r="G11" s="62">
        <v>9.6</v>
      </c>
      <c r="H11" s="62">
        <v>30.2</v>
      </c>
      <c r="I11" s="62">
        <v>214.6</v>
      </c>
      <c r="J11" s="62">
        <v>20.2</v>
      </c>
      <c r="K11" s="62">
        <v>66.9</v>
      </c>
      <c r="L11" s="62">
        <v>122.3</v>
      </c>
      <c r="M11" s="62">
        <v>117.7</v>
      </c>
      <c r="N11" s="62">
        <v>96.2</v>
      </c>
      <c r="O11" s="62">
        <v>28.8</v>
      </c>
      <c r="P11" s="69">
        <v>13</v>
      </c>
      <c r="Q11" s="69">
        <v>13.2</v>
      </c>
      <c r="R11" s="69">
        <v>13.4</v>
      </c>
      <c r="S11" s="69">
        <v>13.2</v>
      </c>
      <c r="T11" s="62">
        <v>661.4</v>
      </c>
      <c r="U11" s="19">
        <v>-0.2</v>
      </c>
      <c r="V11" s="50">
        <v>10</v>
      </c>
      <c r="W11" s="335"/>
    </row>
    <row r="12" spans="1:23" ht="16.5" customHeight="1">
      <c r="A12" s="310"/>
      <c r="B12" s="310"/>
      <c r="C12" s="369"/>
      <c r="D12" s="28" t="s">
        <v>192</v>
      </c>
      <c r="E12" s="62">
        <v>103.1</v>
      </c>
      <c r="F12" s="62">
        <v>154</v>
      </c>
      <c r="G12" s="62">
        <v>8.3</v>
      </c>
      <c r="H12" s="62">
        <v>35.3</v>
      </c>
      <c r="I12" s="62">
        <v>325.3</v>
      </c>
      <c r="J12" s="62">
        <v>21.34</v>
      </c>
      <c r="K12" s="62">
        <v>60.45</v>
      </c>
      <c r="L12" s="62">
        <v>157.1</v>
      </c>
      <c r="M12" s="62">
        <v>138.5</v>
      </c>
      <c r="N12" s="62">
        <v>88.16</v>
      </c>
      <c r="O12" s="62">
        <v>24.43</v>
      </c>
      <c r="P12" s="69">
        <v>13.26</v>
      </c>
      <c r="Q12" s="69">
        <v>12.9</v>
      </c>
      <c r="R12" s="69">
        <v>13.08</v>
      </c>
      <c r="S12" s="69">
        <v>13.08</v>
      </c>
      <c r="T12" s="62">
        <v>654</v>
      </c>
      <c r="U12" s="19">
        <v>0.5</v>
      </c>
      <c r="V12" s="50">
        <v>7</v>
      </c>
      <c r="W12" s="335"/>
    </row>
    <row r="13" spans="1:23" ht="16.5" customHeight="1">
      <c r="A13" s="310"/>
      <c r="B13" s="310"/>
      <c r="C13" s="369"/>
      <c r="D13" s="28" t="s">
        <v>185</v>
      </c>
      <c r="E13" s="62">
        <v>111</v>
      </c>
      <c r="F13" s="62">
        <v>148</v>
      </c>
      <c r="G13" s="62">
        <v>5.1</v>
      </c>
      <c r="H13" s="62">
        <v>27.2</v>
      </c>
      <c r="I13" s="62">
        <v>433.3</v>
      </c>
      <c r="J13" s="62">
        <v>17.9</v>
      </c>
      <c r="K13" s="62">
        <v>65.8</v>
      </c>
      <c r="L13" s="62">
        <v>180.9</v>
      </c>
      <c r="M13" s="62">
        <v>168.8</v>
      </c>
      <c r="N13" s="62">
        <v>93.3</v>
      </c>
      <c r="O13" s="62">
        <v>28</v>
      </c>
      <c r="P13" s="69">
        <v>15.6</v>
      </c>
      <c r="Q13" s="69">
        <v>14.5</v>
      </c>
      <c r="R13" s="69">
        <v>14.28</v>
      </c>
      <c r="S13" s="69">
        <v>14.79</v>
      </c>
      <c r="T13" s="62">
        <v>739.5</v>
      </c>
      <c r="U13" s="19">
        <v>8.7</v>
      </c>
      <c r="V13" s="76">
        <v>3</v>
      </c>
      <c r="W13" s="335"/>
    </row>
    <row r="14" spans="1:23" ht="16.5" customHeight="1">
      <c r="A14" s="310"/>
      <c r="B14" s="310"/>
      <c r="C14" s="369"/>
      <c r="D14" s="28" t="s">
        <v>187</v>
      </c>
      <c r="E14" s="62">
        <v>107</v>
      </c>
      <c r="F14" s="62">
        <v>148</v>
      </c>
      <c r="G14" s="62">
        <v>6.2</v>
      </c>
      <c r="H14" s="62">
        <v>26.4</v>
      </c>
      <c r="I14" s="62">
        <v>325.8</v>
      </c>
      <c r="J14" s="62">
        <v>18.5</v>
      </c>
      <c r="K14" s="62">
        <v>70.1</v>
      </c>
      <c r="L14" s="62">
        <v>137.8</v>
      </c>
      <c r="M14" s="62">
        <v>134.3</v>
      </c>
      <c r="N14" s="62">
        <v>97.5</v>
      </c>
      <c r="O14" s="62">
        <v>29.2</v>
      </c>
      <c r="P14" s="69">
        <v>14.07</v>
      </c>
      <c r="Q14" s="69">
        <v>14.43</v>
      </c>
      <c r="R14" s="69">
        <v>14.02</v>
      </c>
      <c r="S14" s="69">
        <v>14.17</v>
      </c>
      <c r="T14" s="62">
        <v>708.13</v>
      </c>
      <c r="U14" s="19">
        <v>9.3</v>
      </c>
      <c r="V14" s="50">
        <v>1</v>
      </c>
      <c r="W14" s="335"/>
    </row>
    <row r="15" spans="1:23" ht="16.5" customHeight="1">
      <c r="A15" s="310"/>
      <c r="B15" s="310"/>
      <c r="C15" s="369"/>
      <c r="D15" s="28" t="s">
        <v>190</v>
      </c>
      <c r="E15" s="62">
        <v>107</v>
      </c>
      <c r="F15" s="62">
        <v>153</v>
      </c>
      <c r="G15" s="62">
        <v>5.5</v>
      </c>
      <c r="H15" s="62">
        <v>24.2</v>
      </c>
      <c r="I15" s="62">
        <v>340</v>
      </c>
      <c r="J15" s="62">
        <v>19</v>
      </c>
      <c r="K15" s="62">
        <v>78.5</v>
      </c>
      <c r="L15" s="62">
        <v>171.8</v>
      </c>
      <c r="M15" s="62">
        <v>165.3</v>
      </c>
      <c r="N15" s="62">
        <v>96.2</v>
      </c>
      <c r="O15" s="62">
        <v>27.22</v>
      </c>
      <c r="P15" s="69">
        <v>16.95</v>
      </c>
      <c r="Q15" s="69">
        <v>16.93</v>
      </c>
      <c r="R15" s="69">
        <v>17.15</v>
      </c>
      <c r="S15" s="69">
        <v>17.01</v>
      </c>
      <c r="T15" s="62">
        <v>850.5</v>
      </c>
      <c r="U15" s="19">
        <v>12.13</v>
      </c>
      <c r="V15" s="76">
        <v>2</v>
      </c>
      <c r="W15" s="335"/>
    </row>
    <row r="16" spans="1:23" ht="16.5" customHeight="1">
      <c r="A16" s="310"/>
      <c r="B16" s="310"/>
      <c r="C16" s="369"/>
      <c r="D16" s="28" t="s">
        <v>206</v>
      </c>
      <c r="E16" s="62">
        <v>112.5</v>
      </c>
      <c r="F16" s="62">
        <v>154</v>
      </c>
      <c r="G16" s="62">
        <v>4.3</v>
      </c>
      <c r="H16" s="62">
        <v>29.14</v>
      </c>
      <c r="I16" s="62">
        <v>577.67</v>
      </c>
      <c r="J16" s="62">
        <v>20.65</v>
      </c>
      <c r="K16" s="62">
        <v>70.86</v>
      </c>
      <c r="L16" s="62">
        <v>142.38</v>
      </c>
      <c r="M16" s="62">
        <v>131.86</v>
      </c>
      <c r="N16" s="62">
        <v>92.61</v>
      </c>
      <c r="O16" s="62">
        <v>26.39</v>
      </c>
      <c r="P16" s="69">
        <v>13.55</v>
      </c>
      <c r="Q16" s="69">
        <v>13.24</v>
      </c>
      <c r="R16" s="69">
        <v>13.31</v>
      </c>
      <c r="S16" s="69">
        <v>13.37</v>
      </c>
      <c r="T16" s="62">
        <v>668.33</v>
      </c>
      <c r="U16" s="19">
        <v>1.3</v>
      </c>
      <c r="V16" s="50">
        <v>4</v>
      </c>
      <c r="W16" s="335"/>
    </row>
    <row r="17" spans="1:23" ht="16.5" customHeight="1">
      <c r="A17" s="310"/>
      <c r="B17" s="310"/>
      <c r="C17" s="369"/>
      <c r="D17" s="28" t="s">
        <v>109</v>
      </c>
      <c r="E17" s="62">
        <v>98.1</v>
      </c>
      <c r="F17" s="62">
        <v>154</v>
      </c>
      <c r="G17" s="62">
        <v>5.6</v>
      </c>
      <c r="H17" s="62">
        <v>28.6</v>
      </c>
      <c r="I17" s="62">
        <v>410.71</v>
      </c>
      <c r="J17" s="62">
        <v>21.9</v>
      </c>
      <c r="K17" s="62">
        <v>76.57</v>
      </c>
      <c r="L17" s="62">
        <v>132.1</v>
      </c>
      <c r="M17" s="62">
        <v>123.1</v>
      </c>
      <c r="N17" s="62">
        <v>93.2</v>
      </c>
      <c r="O17" s="62">
        <v>28.6</v>
      </c>
      <c r="P17" s="69">
        <v>12.96</v>
      </c>
      <c r="Q17" s="69">
        <v>13.34</v>
      </c>
      <c r="R17" s="69">
        <v>13.36</v>
      </c>
      <c r="S17" s="69">
        <v>13.22</v>
      </c>
      <c r="T17" s="62">
        <v>661</v>
      </c>
      <c r="U17" s="19">
        <v>6.9</v>
      </c>
      <c r="V17" s="76">
        <v>1</v>
      </c>
      <c r="W17" s="335"/>
    </row>
    <row r="18" spans="1:23" ht="16.5" customHeight="1">
      <c r="A18" s="310"/>
      <c r="B18" s="310"/>
      <c r="C18" s="369"/>
      <c r="D18" s="63" t="s">
        <v>30</v>
      </c>
      <c r="E18" s="64">
        <f aca="true" t="shared" si="1" ref="E18:T18">AVERAGE(E10:E17)</f>
        <v>105.175</v>
      </c>
      <c r="F18" s="64">
        <f t="shared" si="1"/>
        <v>151.625</v>
      </c>
      <c r="G18" s="64">
        <f t="shared" si="1"/>
        <v>6.45</v>
      </c>
      <c r="H18" s="64">
        <f t="shared" si="1"/>
        <v>28.03</v>
      </c>
      <c r="I18" s="64">
        <f t="shared" si="1"/>
        <v>369.85125</v>
      </c>
      <c r="J18" s="64">
        <f t="shared" si="1"/>
        <v>20.0925</v>
      </c>
      <c r="K18" s="64">
        <f t="shared" si="1"/>
        <v>72.59625</v>
      </c>
      <c r="L18" s="64">
        <f t="shared" si="1"/>
        <v>150.4475</v>
      </c>
      <c r="M18" s="64">
        <f t="shared" si="1"/>
        <v>138.27</v>
      </c>
      <c r="N18" s="64">
        <f t="shared" si="1"/>
        <v>92.08625</v>
      </c>
      <c r="O18" s="64">
        <f t="shared" si="1"/>
        <v>27.28</v>
      </c>
      <c r="P18" s="70">
        <f t="shared" si="1"/>
        <v>14.04875</v>
      </c>
      <c r="Q18" s="70">
        <f t="shared" si="1"/>
        <v>13.94875</v>
      </c>
      <c r="R18" s="70">
        <f t="shared" si="1"/>
        <v>13.9625</v>
      </c>
      <c r="S18" s="70">
        <f t="shared" si="1"/>
        <v>13.98625</v>
      </c>
      <c r="T18" s="64">
        <f t="shared" si="1"/>
        <v>699.42</v>
      </c>
      <c r="U18" s="64">
        <v>4.9</v>
      </c>
      <c r="V18" s="77">
        <v>2</v>
      </c>
      <c r="W18" s="335"/>
    </row>
    <row r="19" spans="1:23" ht="16.5" customHeight="1">
      <c r="A19" s="325" t="s">
        <v>51</v>
      </c>
      <c r="B19" s="310"/>
      <c r="C19" s="319" t="s">
        <v>210</v>
      </c>
      <c r="D19" s="6" t="s">
        <v>190</v>
      </c>
      <c r="E19" s="44">
        <v>103</v>
      </c>
      <c r="F19" s="18">
        <v>151</v>
      </c>
      <c r="G19" s="18">
        <v>6.5</v>
      </c>
      <c r="H19" s="18">
        <v>27.8</v>
      </c>
      <c r="I19" s="18">
        <v>327.7</v>
      </c>
      <c r="J19" s="18">
        <v>22.17</v>
      </c>
      <c r="K19" s="18">
        <v>79.7</v>
      </c>
      <c r="L19" s="44">
        <v>135.9</v>
      </c>
      <c r="M19" s="44">
        <v>127.1</v>
      </c>
      <c r="N19" s="44">
        <v>93.5</v>
      </c>
      <c r="O19" s="18">
        <v>28.1</v>
      </c>
      <c r="P19" s="18">
        <v>353.43</v>
      </c>
      <c r="Q19" s="18">
        <v>345.69</v>
      </c>
      <c r="R19" s="18"/>
      <c r="S19" s="18">
        <v>349.56</v>
      </c>
      <c r="T19" s="18">
        <v>776.8</v>
      </c>
      <c r="U19" s="72">
        <v>8.11412665274878</v>
      </c>
      <c r="V19" s="365" t="s">
        <v>196</v>
      </c>
      <c r="W19" s="335"/>
    </row>
    <row r="20" spans="1:23" ht="16.5" customHeight="1">
      <c r="A20" s="310"/>
      <c r="B20" s="310"/>
      <c r="C20" s="320"/>
      <c r="D20" s="6" t="s">
        <v>206</v>
      </c>
      <c r="E20" s="18">
        <v>100.95</v>
      </c>
      <c r="F20" s="18">
        <v>155</v>
      </c>
      <c r="G20" s="18">
        <v>5.35</v>
      </c>
      <c r="H20" s="18">
        <v>24.81</v>
      </c>
      <c r="I20" s="18">
        <v>363.74</v>
      </c>
      <c r="J20" s="18">
        <v>19.89</v>
      </c>
      <c r="K20" s="18">
        <v>80.17</v>
      </c>
      <c r="L20" s="18">
        <v>148.56</v>
      </c>
      <c r="M20" s="18">
        <v>139.96</v>
      </c>
      <c r="N20" s="18">
        <v>94.21</v>
      </c>
      <c r="O20" s="18">
        <v>26.75</v>
      </c>
      <c r="P20" s="18">
        <v>248.93</v>
      </c>
      <c r="Q20" s="18">
        <v>264.35</v>
      </c>
      <c r="R20" s="18"/>
      <c r="S20" s="18">
        <v>256.64</v>
      </c>
      <c r="T20" s="18">
        <v>712.89</v>
      </c>
      <c r="U20" s="72">
        <v>5.125860823146</v>
      </c>
      <c r="V20" s="366"/>
      <c r="W20" s="335"/>
    </row>
    <row r="21" spans="1:23" ht="16.5" customHeight="1">
      <c r="A21" s="310"/>
      <c r="B21" s="310"/>
      <c r="C21" s="320"/>
      <c r="D21" s="6" t="s">
        <v>191</v>
      </c>
      <c r="E21" s="18">
        <v>104.2</v>
      </c>
      <c r="F21" s="18">
        <v>147</v>
      </c>
      <c r="G21" s="18">
        <v>8.8</v>
      </c>
      <c r="H21" s="18">
        <v>32.9</v>
      </c>
      <c r="I21" s="18">
        <v>273.9</v>
      </c>
      <c r="J21" s="18">
        <v>19.5</v>
      </c>
      <c r="K21" s="18">
        <v>59.4</v>
      </c>
      <c r="L21" s="44">
        <v>141.9</v>
      </c>
      <c r="M21" s="44">
        <v>138.3</v>
      </c>
      <c r="N21" s="44">
        <v>97.4</v>
      </c>
      <c r="O21" s="44">
        <v>26.02</v>
      </c>
      <c r="P21" s="44">
        <v>224.3</v>
      </c>
      <c r="Q21" s="44">
        <v>214.2</v>
      </c>
      <c r="R21" s="44"/>
      <c r="S21" s="44">
        <v>219.3</v>
      </c>
      <c r="T21" s="44">
        <v>730.9</v>
      </c>
      <c r="U21" s="72">
        <v>4.47398513436249</v>
      </c>
      <c r="V21" s="366"/>
      <c r="W21" s="335"/>
    </row>
    <row r="22" spans="1:23" ht="16.5" customHeight="1">
      <c r="A22" s="310"/>
      <c r="B22" s="310"/>
      <c r="C22" s="320"/>
      <c r="D22" s="6" t="s">
        <v>207</v>
      </c>
      <c r="E22" s="18">
        <v>99.8</v>
      </c>
      <c r="F22" s="18">
        <v>165</v>
      </c>
      <c r="G22" s="18">
        <v>5.8</v>
      </c>
      <c r="H22" s="18">
        <v>25.3</v>
      </c>
      <c r="I22" s="18">
        <v>337.5</v>
      </c>
      <c r="J22" s="18">
        <v>21.1</v>
      </c>
      <c r="K22" s="18">
        <v>83.5</v>
      </c>
      <c r="L22" s="44">
        <v>165.8</v>
      </c>
      <c r="M22" s="44">
        <v>137.6</v>
      </c>
      <c r="N22" s="44">
        <v>93.7</v>
      </c>
      <c r="O22" s="44">
        <v>28.6</v>
      </c>
      <c r="P22" s="44">
        <v>354.39</v>
      </c>
      <c r="Q22" s="44">
        <v>368.96</v>
      </c>
      <c r="R22" s="44"/>
      <c r="S22" s="44">
        <v>361.68</v>
      </c>
      <c r="T22" s="44">
        <v>723.35</v>
      </c>
      <c r="U22" s="72">
        <v>0.339852961575814</v>
      </c>
      <c r="V22" s="366"/>
      <c r="W22" s="335"/>
    </row>
    <row r="23" spans="1:23" ht="16.5" customHeight="1">
      <c r="A23" s="310"/>
      <c r="B23" s="310"/>
      <c r="C23" s="320"/>
      <c r="D23" s="6" t="s">
        <v>185</v>
      </c>
      <c r="E23" s="18">
        <v>102</v>
      </c>
      <c r="F23" s="18">
        <v>153</v>
      </c>
      <c r="G23" s="18">
        <v>5.7</v>
      </c>
      <c r="H23" s="18">
        <v>30.1</v>
      </c>
      <c r="I23" s="18">
        <v>428.1</v>
      </c>
      <c r="J23" s="18">
        <v>18.9</v>
      </c>
      <c r="K23" s="18">
        <v>62.8</v>
      </c>
      <c r="L23" s="18">
        <v>132.8</v>
      </c>
      <c r="M23" s="18">
        <v>128.7</v>
      </c>
      <c r="N23" s="18">
        <v>96.9</v>
      </c>
      <c r="O23" s="18">
        <v>28.8</v>
      </c>
      <c r="P23" s="18">
        <v>353.2</v>
      </c>
      <c r="Q23" s="18">
        <v>362.4</v>
      </c>
      <c r="R23" s="18"/>
      <c r="S23" s="18">
        <v>357.8</v>
      </c>
      <c r="T23" s="18">
        <v>715.6</v>
      </c>
      <c r="U23" s="72">
        <v>4.83445648989159</v>
      </c>
      <c r="V23" s="366"/>
      <c r="W23" s="335"/>
    </row>
    <row r="24" spans="1:23" ht="16.5" customHeight="1">
      <c r="A24" s="310"/>
      <c r="B24" s="310"/>
      <c r="C24" s="320"/>
      <c r="D24" s="6" t="s">
        <v>192</v>
      </c>
      <c r="E24" s="18">
        <v>101.3</v>
      </c>
      <c r="F24" s="18">
        <v>160</v>
      </c>
      <c r="G24" s="18">
        <v>10.7</v>
      </c>
      <c r="H24" s="18">
        <v>38.9</v>
      </c>
      <c r="I24" s="18">
        <v>264</v>
      </c>
      <c r="J24" s="18">
        <v>28.5</v>
      </c>
      <c r="K24" s="18">
        <v>73.3</v>
      </c>
      <c r="L24" s="18">
        <v>122.4</v>
      </c>
      <c r="M24" s="18">
        <v>113.3</v>
      </c>
      <c r="N24" s="18">
        <v>92.6</v>
      </c>
      <c r="O24" s="18">
        <v>26.2</v>
      </c>
      <c r="P24" s="18">
        <v>181.14</v>
      </c>
      <c r="Q24" s="18">
        <v>197.88</v>
      </c>
      <c r="R24" s="18"/>
      <c r="S24" s="18">
        <v>189.51</v>
      </c>
      <c r="T24" s="18">
        <v>758</v>
      </c>
      <c r="U24" s="72">
        <v>10.2064553649317</v>
      </c>
      <c r="V24" s="366"/>
      <c r="W24" s="335"/>
    </row>
    <row r="25" spans="1:23" ht="16.5" customHeight="1">
      <c r="A25" s="310"/>
      <c r="B25" s="310"/>
      <c r="C25" s="320"/>
      <c r="D25" s="29" t="s">
        <v>30</v>
      </c>
      <c r="E25" s="22">
        <f aca="true" t="shared" si="2" ref="E25:Q25">AVERAGE(E19:E24)</f>
        <v>101.875</v>
      </c>
      <c r="F25" s="22">
        <f t="shared" si="2"/>
        <v>155.166666666667</v>
      </c>
      <c r="G25" s="22">
        <f t="shared" si="2"/>
        <v>7.14166666666667</v>
      </c>
      <c r="H25" s="22">
        <f t="shared" si="2"/>
        <v>29.9683333333333</v>
      </c>
      <c r="I25" s="22">
        <f t="shared" si="2"/>
        <v>332.49</v>
      </c>
      <c r="J25" s="22">
        <f t="shared" si="2"/>
        <v>21.6766666666667</v>
      </c>
      <c r="K25" s="22">
        <f t="shared" si="2"/>
        <v>73.145</v>
      </c>
      <c r="L25" s="22">
        <f t="shared" si="2"/>
        <v>141.226666666667</v>
      </c>
      <c r="M25" s="22">
        <f t="shared" si="2"/>
        <v>130.826666666667</v>
      </c>
      <c r="N25" s="22">
        <f t="shared" si="2"/>
        <v>94.7183333333333</v>
      </c>
      <c r="O25" s="22">
        <f t="shared" si="2"/>
        <v>27.4116666666667</v>
      </c>
      <c r="P25" s="22">
        <f t="shared" si="2"/>
        <v>285.898333333333</v>
      </c>
      <c r="Q25" s="22">
        <f t="shared" si="2"/>
        <v>292.246666666667</v>
      </c>
      <c r="R25" s="22"/>
      <c r="S25" s="22">
        <f>AVERAGE(S19:S24)</f>
        <v>289.081666666667</v>
      </c>
      <c r="T25" s="22">
        <f>AVERAGE(T19:T24)</f>
        <v>736.256666666667</v>
      </c>
      <c r="U25" s="22">
        <v>5.49273676845301</v>
      </c>
      <c r="V25" s="366"/>
      <c r="W25" s="335"/>
    </row>
  </sheetData>
  <sheetProtection/>
  <mergeCells count="14">
    <mergeCell ref="V19:V25"/>
    <mergeCell ref="W1:W2"/>
    <mergeCell ref="W3:W25"/>
    <mergeCell ref="P1:S1"/>
    <mergeCell ref="A1:A2"/>
    <mergeCell ref="A3:A9"/>
    <mergeCell ref="A10:A18"/>
    <mergeCell ref="A19:A25"/>
    <mergeCell ref="B1:B2"/>
    <mergeCell ref="B3:B25"/>
    <mergeCell ref="C3:C9"/>
    <mergeCell ref="C10:C18"/>
    <mergeCell ref="C19:C25"/>
    <mergeCell ref="D1:D2"/>
  </mergeCells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I1">
      <selection activeCell="Q34" sqref="Q34"/>
    </sheetView>
  </sheetViews>
  <sheetFormatPr defaultColWidth="9.00390625" defaultRowHeight="15"/>
  <sheetData>
    <row r="1" spans="1:23" ht="13.5">
      <c r="A1" s="310" t="s">
        <v>0</v>
      </c>
      <c r="B1" s="310" t="s">
        <v>1</v>
      </c>
      <c r="C1" s="1" t="s">
        <v>2</v>
      </c>
      <c r="D1" s="37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11</v>
      </c>
      <c r="N1" s="1" t="s">
        <v>12</v>
      </c>
      <c r="O1" s="1" t="s">
        <v>13</v>
      </c>
      <c r="P1" s="370" t="s">
        <v>211</v>
      </c>
      <c r="Q1" s="370"/>
      <c r="R1" s="370"/>
      <c r="S1" s="370"/>
      <c r="T1" s="1" t="s">
        <v>15</v>
      </c>
      <c r="U1" s="41" t="s">
        <v>212</v>
      </c>
      <c r="V1" s="42" t="s">
        <v>17</v>
      </c>
      <c r="W1" s="316" t="s">
        <v>18</v>
      </c>
    </row>
    <row r="2" spans="1:23" ht="13.5">
      <c r="A2" s="371"/>
      <c r="B2" s="371"/>
      <c r="C2" s="2" t="s">
        <v>19</v>
      </c>
      <c r="D2" s="374"/>
      <c r="E2" s="2" t="s">
        <v>20</v>
      </c>
      <c r="F2" s="1" t="s">
        <v>176</v>
      </c>
      <c r="G2" s="1" t="s">
        <v>177</v>
      </c>
      <c r="H2" s="1" t="s">
        <v>177</v>
      </c>
      <c r="I2" s="1" t="s">
        <v>23</v>
      </c>
      <c r="J2" s="1" t="s">
        <v>177</v>
      </c>
      <c r="K2" s="1" t="s">
        <v>23</v>
      </c>
      <c r="L2" s="1" t="s">
        <v>24</v>
      </c>
      <c r="M2" s="1" t="s">
        <v>25</v>
      </c>
      <c r="N2" s="1" t="s">
        <v>23</v>
      </c>
      <c r="O2" s="1" t="s">
        <v>213</v>
      </c>
      <c r="P2" s="33" t="s">
        <v>27</v>
      </c>
      <c r="Q2" s="33" t="s">
        <v>28</v>
      </c>
      <c r="R2" s="33" t="s">
        <v>29</v>
      </c>
      <c r="S2" s="33" t="s">
        <v>30</v>
      </c>
      <c r="T2" s="1" t="s">
        <v>31</v>
      </c>
      <c r="U2" s="41" t="s">
        <v>214</v>
      </c>
      <c r="V2" s="42" t="s">
        <v>33</v>
      </c>
      <c r="W2" s="317"/>
    </row>
    <row r="3" spans="1:23" ht="13.5">
      <c r="A3" s="325" t="s">
        <v>34</v>
      </c>
      <c r="B3" s="310" t="s">
        <v>215</v>
      </c>
      <c r="C3" s="372" t="s">
        <v>216</v>
      </c>
      <c r="D3" s="1" t="s">
        <v>217</v>
      </c>
      <c r="E3" s="3">
        <v>117</v>
      </c>
      <c r="F3" s="4">
        <v>153</v>
      </c>
      <c r="G3" s="5">
        <v>7.83</v>
      </c>
      <c r="H3" s="5">
        <v>18.66</v>
      </c>
      <c r="I3" s="5">
        <v>238.27</v>
      </c>
      <c r="J3" s="5">
        <v>13.69</v>
      </c>
      <c r="K3" s="5">
        <v>73.38</v>
      </c>
      <c r="L3" s="5">
        <v>243</v>
      </c>
      <c r="M3" s="5">
        <v>203</v>
      </c>
      <c r="N3" s="5">
        <v>83.54</v>
      </c>
      <c r="O3" s="5">
        <v>22.66</v>
      </c>
      <c r="P3" s="34">
        <v>14.69</v>
      </c>
      <c r="Q3" s="34">
        <v>14.52</v>
      </c>
      <c r="R3" s="34">
        <v>14.43</v>
      </c>
      <c r="S3" s="34">
        <v>14.55</v>
      </c>
      <c r="T3" s="5">
        <v>727.29</v>
      </c>
      <c r="U3" s="34">
        <v>3.97</v>
      </c>
      <c r="V3" s="43">
        <v>4</v>
      </c>
      <c r="W3" s="318" t="s">
        <v>218</v>
      </c>
    </row>
    <row r="4" spans="1:23" ht="13.5">
      <c r="A4" s="310"/>
      <c r="B4" s="310"/>
      <c r="C4" s="357"/>
      <c r="D4" s="1" t="s">
        <v>219</v>
      </c>
      <c r="E4" s="3">
        <v>126.4</v>
      </c>
      <c r="F4" s="4">
        <v>158</v>
      </c>
      <c r="G4" s="5">
        <v>3.4</v>
      </c>
      <c r="H4" s="5">
        <v>25.8</v>
      </c>
      <c r="I4" s="5">
        <v>658.8</v>
      </c>
      <c r="J4" s="5">
        <v>16.5</v>
      </c>
      <c r="K4" s="5">
        <v>64</v>
      </c>
      <c r="L4" s="5">
        <v>245.7</v>
      </c>
      <c r="M4" s="5">
        <v>201</v>
      </c>
      <c r="N4" s="5">
        <v>81.8</v>
      </c>
      <c r="O4" s="5">
        <v>23.3</v>
      </c>
      <c r="P4" s="34">
        <v>15</v>
      </c>
      <c r="Q4" s="34">
        <v>15.05</v>
      </c>
      <c r="R4" s="34">
        <v>14.85</v>
      </c>
      <c r="S4" s="34">
        <v>14.97</v>
      </c>
      <c r="T4" s="5">
        <v>748.3</v>
      </c>
      <c r="U4" s="34">
        <v>-0.8</v>
      </c>
      <c r="V4" s="18">
        <v>4</v>
      </c>
      <c r="W4" s="335"/>
    </row>
    <row r="5" spans="1:23" ht="13.5">
      <c r="A5" s="310"/>
      <c r="B5" s="310"/>
      <c r="C5" s="357"/>
      <c r="D5" s="1" t="s">
        <v>190</v>
      </c>
      <c r="E5" s="7">
        <v>115</v>
      </c>
      <c r="F5" s="4">
        <v>162</v>
      </c>
      <c r="G5" s="5">
        <v>5.3</v>
      </c>
      <c r="H5" s="5">
        <v>29.6</v>
      </c>
      <c r="I5" s="5">
        <v>458.5</v>
      </c>
      <c r="J5" s="5">
        <v>18.4</v>
      </c>
      <c r="K5" s="5">
        <v>62.2</v>
      </c>
      <c r="L5" s="9">
        <v>217.7</v>
      </c>
      <c r="M5" s="9">
        <v>185.3</v>
      </c>
      <c r="N5" s="9">
        <v>85.1</v>
      </c>
      <c r="O5" s="9">
        <v>22.67</v>
      </c>
      <c r="P5" s="35">
        <v>14.96</v>
      </c>
      <c r="Q5" s="35">
        <v>14.88</v>
      </c>
      <c r="R5" s="35">
        <v>14.46</v>
      </c>
      <c r="S5" s="35">
        <v>14.77</v>
      </c>
      <c r="T5" s="9">
        <v>738.5</v>
      </c>
      <c r="U5" s="34">
        <v>4.83</v>
      </c>
      <c r="V5" s="44">
        <v>5</v>
      </c>
      <c r="W5" s="335"/>
    </row>
    <row r="6" spans="1:23" ht="13.5">
      <c r="A6" s="310"/>
      <c r="B6" s="310"/>
      <c r="C6" s="357"/>
      <c r="D6" s="1" t="s">
        <v>185</v>
      </c>
      <c r="E6" s="3">
        <v>118</v>
      </c>
      <c r="F6" s="4">
        <v>156</v>
      </c>
      <c r="G6" s="5">
        <v>4.65</v>
      </c>
      <c r="H6" s="5">
        <v>24.1</v>
      </c>
      <c r="I6" s="5">
        <v>418.3</v>
      </c>
      <c r="J6" s="5">
        <v>17</v>
      </c>
      <c r="K6" s="5">
        <v>70.5</v>
      </c>
      <c r="L6" s="5">
        <v>217.8</v>
      </c>
      <c r="M6" s="5">
        <v>184.9</v>
      </c>
      <c r="N6" s="5">
        <v>84.9</v>
      </c>
      <c r="O6" s="5">
        <v>23</v>
      </c>
      <c r="P6" s="34">
        <v>15.75</v>
      </c>
      <c r="Q6" s="34">
        <v>14.72</v>
      </c>
      <c r="R6" s="34">
        <v>14.55</v>
      </c>
      <c r="S6" s="34">
        <v>15.01</v>
      </c>
      <c r="T6" s="5">
        <v>750.26</v>
      </c>
      <c r="U6" s="34">
        <v>2.12</v>
      </c>
      <c r="V6" s="45">
        <v>3</v>
      </c>
      <c r="W6" s="335"/>
    </row>
    <row r="7" spans="1:23" ht="13.5">
      <c r="A7" s="310"/>
      <c r="B7" s="310"/>
      <c r="C7" s="357"/>
      <c r="D7" s="1" t="s">
        <v>209</v>
      </c>
      <c r="E7" s="7">
        <v>107</v>
      </c>
      <c r="F7" s="8">
        <v>162</v>
      </c>
      <c r="G7" s="9">
        <v>5.5</v>
      </c>
      <c r="H7" s="9">
        <v>26</v>
      </c>
      <c r="I7" s="9">
        <v>477.7</v>
      </c>
      <c r="J7" s="9">
        <v>18.6</v>
      </c>
      <c r="K7" s="9">
        <v>71.3</v>
      </c>
      <c r="L7" s="9">
        <v>177.7</v>
      </c>
      <c r="M7" s="9">
        <v>168.1</v>
      </c>
      <c r="N7" s="9">
        <v>94.6</v>
      </c>
      <c r="O7" s="9">
        <v>24.3</v>
      </c>
      <c r="P7" s="35">
        <v>14.4</v>
      </c>
      <c r="Q7" s="35">
        <v>14.6</v>
      </c>
      <c r="R7" s="35">
        <v>14.1</v>
      </c>
      <c r="S7" s="35">
        <v>14.4</v>
      </c>
      <c r="T7" s="9">
        <v>718.44</v>
      </c>
      <c r="U7" s="34">
        <v>-2.73</v>
      </c>
      <c r="V7" s="18">
        <v>4</v>
      </c>
      <c r="W7" s="335"/>
    </row>
    <row r="8" spans="1:23" ht="13.5">
      <c r="A8" s="310"/>
      <c r="B8" s="310"/>
      <c r="C8" s="357"/>
      <c r="D8" s="1" t="s">
        <v>220</v>
      </c>
      <c r="E8" s="3">
        <v>121.6</v>
      </c>
      <c r="F8" s="4">
        <v>163</v>
      </c>
      <c r="G8" s="5">
        <v>8.74</v>
      </c>
      <c r="H8" s="5">
        <v>29.99</v>
      </c>
      <c r="I8" s="5">
        <v>343.14</v>
      </c>
      <c r="J8" s="5">
        <v>17.71</v>
      </c>
      <c r="K8" s="5">
        <v>59.05</v>
      </c>
      <c r="L8" s="5">
        <v>179.09</v>
      </c>
      <c r="M8" s="5">
        <v>167.43</v>
      </c>
      <c r="N8" s="5">
        <v>93.49</v>
      </c>
      <c r="O8" s="5">
        <v>22.44</v>
      </c>
      <c r="P8" s="34">
        <v>14.225</v>
      </c>
      <c r="Q8" s="34">
        <v>12.8583333333333</v>
      </c>
      <c r="R8" s="34">
        <v>12.8333333333333</v>
      </c>
      <c r="S8" s="34">
        <v>13.3055555555556</v>
      </c>
      <c r="T8" s="5">
        <v>665.277777777778</v>
      </c>
      <c r="U8" s="34">
        <v>-1.31</v>
      </c>
      <c r="V8" s="18">
        <v>5</v>
      </c>
      <c r="W8" s="335"/>
    </row>
    <row r="9" spans="1:23" ht="13.5">
      <c r="A9" s="310"/>
      <c r="B9" s="310"/>
      <c r="C9" s="357"/>
      <c r="D9" s="10" t="s">
        <v>30</v>
      </c>
      <c r="E9" s="11">
        <v>117.5</v>
      </c>
      <c r="F9" s="12">
        <v>159</v>
      </c>
      <c r="G9" s="13">
        <v>5.90333333333333</v>
      </c>
      <c r="H9" s="13">
        <v>25.6916666666667</v>
      </c>
      <c r="I9" s="13">
        <v>432.451666666667</v>
      </c>
      <c r="J9" s="13">
        <v>16.9833333333333</v>
      </c>
      <c r="K9" s="13">
        <v>66.7383333333333</v>
      </c>
      <c r="L9" s="13">
        <v>213.498333333333</v>
      </c>
      <c r="M9" s="13">
        <v>184.955</v>
      </c>
      <c r="N9" s="13">
        <v>87.2383333333333</v>
      </c>
      <c r="O9" s="13">
        <v>23.0616666666667</v>
      </c>
      <c r="P9" s="36">
        <v>14.8375</v>
      </c>
      <c r="Q9" s="36">
        <v>14.4380555555556</v>
      </c>
      <c r="R9" s="36">
        <v>14.2038888888889</v>
      </c>
      <c r="S9" s="36">
        <v>14.49</v>
      </c>
      <c r="T9" s="13">
        <v>724.5</v>
      </c>
      <c r="U9" s="36">
        <v>0.93</v>
      </c>
      <c r="V9" s="46">
        <v>3</v>
      </c>
      <c r="W9" s="335"/>
    </row>
    <row r="10" spans="1:23" ht="13.5">
      <c r="A10" s="325" t="s">
        <v>47</v>
      </c>
      <c r="B10" s="310"/>
      <c r="C10" s="319" t="s">
        <v>221</v>
      </c>
      <c r="D10" s="1" t="s">
        <v>217</v>
      </c>
      <c r="E10" s="15">
        <v>118</v>
      </c>
      <c r="F10" s="16">
        <v>161</v>
      </c>
      <c r="G10" s="17">
        <v>5.2</v>
      </c>
      <c r="H10" s="17">
        <v>22.4</v>
      </c>
      <c r="I10" s="17">
        <v>430.77</v>
      </c>
      <c r="J10" s="17">
        <v>14.9</v>
      </c>
      <c r="K10" s="17">
        <v>66.52</v>
      </c>
      <c r="L10" s="17">
        <v>230.4</v>
      </c>
      <c r="M10" s="17">
        <v>180.9</v>
      </c>
      <c r="N10" s="17">
        <v>78.5</v>
      </c>
      <c r="O10" s="17">
        <v>27.4</v>
      </c>
      <c r="P10" s="37">
        <v>13.3</v>
      </c>
      <c r="Q10" s="37">
        <v>13.8</v>
      </c>
      <c r="R10" s="37">
        <v>14</v>
      </c>
      <c r="S10" s="37">
        <v>13.7</v>
      </c>
      <c r="T10" s="15">
        <v>684.9</v>
      </c>
      <c r="U10" s="47">
        <v>9.01</v>
      </c>
      <c r="V10" s="48">
        <v>3</v>
      </c>
      <c r="W10" s="335"/>
    </row>
    <row r="11" spans="1:23" ht="13.5">
      <c r="A11" s="310"/>
      <c r="B11" s="310"/>
      <c r="C11" s="320"/>
      <c r="D11" s="1" t="s">
        <v>219</v>
      </c>
      <c r="E11" s="15">
        <v>121.8</v>
      </c>
      <c r="F11" s="16">
        <v>176</v>
      </c>
      <c r="G11" s="17">
        <v>3.2</v>
      </c>
      <c r="H11" s="17">
        <v>18.3</v>
      </c>
      <c r="I11" s="17">
        <v>571.9</v>
      </c>
      <c r="J11" s="17">
        <v>13.5</v>
      </c>
      <c r="K11" s="17">
        <v>73.8</v>
      </c>
      <c r="L11" s="17">
        <v>292.5</v>
      </c>
      <c r="M11" s="17">
        <v>269.7</v>
      </c>
      <c r="N11" s="17">
        <v>92.2</v>
      </c>
      <c r="O11" s="17">
        <v>25.1</v>
      </c>
      <c r="P11" s="37">
        <v>17.95</v>
      </c>
      <c r="Q11" s="37">
        <v>17.85</v>
      </c>
      <c r="R11" s="37">
        <v>17.55</v>
      </c>
      <c r="S11" s="37">
        <v>17.8</v>
      </c>
      <c r="T11" s="15">
        <v>889.2</v>
      </c>
      <c r="U11" s="47">
        <v>25.4</v>
      </c>
      <c r="V11" s="48">
        <v>2</v>
      </c>
      <c r="W11" s="335"/>
    </row>
    <row r="12" spans="1:23" ht="13.5">
      <c r="A12" s="310"/>
      <c r="B12" s="310"/>
      <c r="C12" s="320"/>
      <c r="D12" s="1" t="s">
        <v>190</v>
      </c>
      <c r="E12" s="19">
        <v>119</v>
      </c>
      <c r="F12" s="20">
        <v>166</v>
      </c>
      <c r="G12" s="21">
        <v>4.6</v>
      </c>
      <c r="H12" s="21">
        <v>26.7</v>
      </c>
      <c r="I12" s="21">
        <v>480.4</v>
      </c>
      <c r="J12" s="21">
        <v>17.3</v>
      </c>
      <c r="K12" s="21">
        <v>64.8</v>
      </c>
      <c r="L12" s="17">
        <v>278.7</v>
      </c>
      <c r="M12" s="17">
        <v>239.1</v>
      </c>
      <c r="N12" s="17">
        <v>85.8</v>
      </c>
      <c r="O12" s="17">
        <v>23.91</v>
      </c>
      <c r="P12" s="37">
        <v>17.6</v>
      </c>
      <c r="Q12" s="37">
        <v>17.16</v>
      </c>
      <c r="R12" s="37">
        <v>18.01</v>
      </c>
      <c r="S12" s="37">
        <v>17.59</v>
      </c>
      <c r="T12" s="19">
        <v>879.5</v>
      </c>
      <c r="U12" s="49">
        <v>12</v>
      </c>
      <c r="V12" s="48">
        <v>2</v>
      </c>
      <c r="W12" s="335"/>
    </row>
    <row r="13" spans="1:23" ht="13.5">
      <c r="A13" s="310"/>
      <c r="B13" s="310"/>
      <c r="C13" s="320"/>
      <c r="D13" s="1" t="s">
        <v>185</v>
      </c>
      <c r="E13" s="15">
        <v>123</v>
      </c>
      <c r="F13" s="16">
        <v>161</v>
      </c>
      <c r="G13" s="17">
        <v>3.7</v>
      </c>
      <c r="H13" s="17">
        <v>21.9</v>
      </c>
      <c r="I13" s="17">
        <v>491.9</v>
      </c>
      <c r="J13" s="17">
        <v>15.1</v>
      </c>
      <c r="K13" s="17">
        <v>68.9</v>
      </c>
      <c r="L13" s="17">
        <v>215.1</v>
      </c>
      <c r="M13" s="17">
        <v>184.1</v>
      </c>
      <c r="N13" s="17">
        <v>85.6</v>
      </c>
      <c r="O13" s="17">
        <v>24.7</v>
      </c>
      <c r="P13" s="37">
        <v>14.6</v>
      </c>
      <c r="Q13" s="37">
        <v>14.6</v>
      </c>
      <c r="R13" s="37">
        <v>15.1</v>
      </c>
      <c r="S13" s="37">
        <v>14.77</v>
      </c>
      <c r="T13" s="15">
        <v>738.3</v>
      </c>
      <c r="U13" s="47">
        <v>4.9</v>
      </c>
      <c r="V13" s="18">
        <v>2</v>
      </c>
      <c r="W13" s="335"/>
    </row>
    <row r="14" spans="1:23" ht="13.5">
      <c r="A14" s="310"/>
      <c r="B14" s="310"/>
      <c r="C14" s="320"/>
      <c r="D14" s="1" t="s">
        <v>209</v>
      </c>
      <c r="E14" s="15">
        <v>113.6</v>
      </c>
      <c r="F14" s="16">
        <v>168</v>
      </c>
      <c r="G14" s="17">
        <v>5.9</v>
      </c>
      <c r="H14" s="17">
        <v>24.3</v>
      </c>
      <c r="I14" s="17">
        <v>311.9</v>
      </c>
      <c r="J14" s="17">
        <v>17.4</v>
      </c>
      <c r="K14" s="17">
        <v>71.6</v>
      </c>
      <c r="L14" s="21">
        <v>211.4</v>
      </c>
      <c r="M14" s="21">
        <v>193</v>
      </c>
      <c r="N14" s="21">
        <v>91.3</v>
      </c>
      <c r="O14" s="21">
        <v>25.6</v>
      </c>
      <c r="P14" s="38">
        <v>15.87</v>
      </c>
      <c r="Q14" s="38">
        <v>16</v>
      </c>
      <c r="R14" s="38">
        <v>16.21</v>
      </c>
      <c r="S14" s="38">
        <v>16.03</v>
      </c>
      <c r="T14" s="19">
        <v>802</v>
      </c>
      <c r="U14" s="47">
        <v>6.24</v>
      </c>
      <c r="V14" s="48">
        <v>1</v>
      </c>
      <c r="W14" s="335"/>
    </row>
    <row r="15" spans="1:23" ht="13.5">
      <c r="A15" s="310"/>
      <c r="B15" s="310"/>
      <c r="C15" s="320"/>
      <c r="D15" s="1" t="s">
        <v>220</v>
      </c>
      <c r="E15" s="15">
        <v>113.2</v>
      </c>
      <c r="F15" s="16">
        <v>171</v>
      </c>
      <c r="G15" s="17">
        <v>6.08</v>
      </c>
      <c r="H15" s="17">
        <v>23.35</v>
      </c>
      <c r="I15" s="17">
        <v>384.05</v>
      </c>
      <c r="J15" s="17">
        <v>15.6</v>
      </c>
      <c r="K15" s="17">
        <v>66.81</v>
      </c>
      <c r="L15" s="21">
        <v>244.17</v>
      </c>
      <c r="M15" s="21">
        <v>210.55</v>
      </c>
      <c r="N15" s="21">
        <v>86.23</v>
      </c>
      <c r="O15" s="21">
        <v>26</v>
      </c>
      <c r="P15" s="38">
        <v>16.88</v>
      </c>
      <c r="Q15" s="38">
        <v>17.06</v>
      </c>
      <c r="R15" s="38">
        <v>16.96</v>
      </c>
      <c r="S15" s="38">
        <v>16.97</v>
      </c>
      <c r="T15" s="19">
        <v>848.5</v>
      </c>
      <c r="U15" s="47">
        <v>20.36</v>
      </c>
      <c r="V15" s="50">
        <v>1</v>
      </c>
      <c r="W15" s="335"/>
    </row>
    <row r="16" spans="1:23" ht="13.5">
      <c r="A16" s="310"/>
      <c r="B16" s="310"/>
      <c r="C16" s="320"/>
      <c r="D16" s="10" t="s">
        <v>30</v>
      </c>
      <c r="E16" s="22">
        <f aca="true" t="shared" si="0" ref="E16:T16">AVERAGE(E10:E15)</f>
        <v>118.1</v>
      </c>
      <c r="F16" s="23">
        <f t="shared" si="0"/>
        <v>167.166666666667</v>
      </c>
      <c r="G16" s="24">
        <f t="shared" si="0"/>
        <v>4.78</v>
      </c>
      <c r="H16" s="24">
        <f t="shared" si="0"/>
        <v>22.825</v>
      </c>
      <c r="I16" s="24">
        <f t="shared" si="0"/>
        <v>445.153333333333</v>
      </c>
      <c r="J16" s="24">
        <f t="shared" si="0"/>
        <v>15.6333333333333</v>
      </c>
      <c r="K16" s="24">
        <f t="shared" si="0"/>
        <v>68.7383333333333</v>
      </c>
      <c r="L16" s="24">
        <f t="shared" si="0"/>
        <v>245.378333333333</v>
      </c>
      <c r="M16" s="24">
        <f t="shared" si="0"/>
        <v>212.891666666667</v>
      </c>
      <c r="N16" s="24">
        <f t="shared" si="0"/>
        <v>86.605</v>
      </c>
      <c r="O16" s="24">
        <f t="shared" si="0"/>
        <v>25.4516666666667</v>
      </c>
      <c r="P16" s="39">
        <f t="shared" si="0"/>
        <v>16.0333333333333</v>
      </c>
      <c r="Q16" s="39">
        <f t="shared" si="0"/>
        <v>16.0783333333333</v>
      </c>
      <c r="R16" s="39">
        <f t="shared" si="0"/>
        <v>16.305</v>
      </c>
      <c r="S16" s="39">
        <f t="shared" si="0"/>
        <v>16.1433333333333</v>
      </c>
      <c r="T16" s="22">
        <f t="shared" si="0"/>
        <v>807.066666666667</v>
      </c>
      <c r="U16" s="51">
        <v>12.98</v>
      </c>
      <c r="V16" s="52">
        <v>2</v>
      </c>
      <c r="W16" s="335"/>
    </row>
    <row r="17" spans="1:23" ht="13.5">
      <c r="A17" s="325" t="s">
        <v>51</v>
      </c>
      <c r="B17" s="310"/>
      <c r="C17" s="319" t="s">
        <v>222</v>
      </c>
      <c r="D17" s="6" t="s">
        <v>219</v>
      </c>
      <c r="E17" s="25">
        <v>115.2</v>
      </c>
      <c r="F17" s="26">
        <v>169</v>
      </c>
      <c r="G17" s="27">
        <v>5.2</v>
      </c>
      <c r="H17" s="27">
        <v>18.6</v>
      </c>
      <c r="I17" s="27">
        <v>357.7</v>
      </c>
      <c r="J17" s="27">
        <v>15.6</v>
      </c>
      <c r="K17" s="27">
        <v>83.9</v>
      </c>
      <c r="L17" s="27">
        <v>240.9</v>
      </c>
      <c r="M17" s="27">
        <v>216.1</v>
      </c>
      <c r="N17" s="27">
        <v>89.7</v>
      </c>
      <c r="O17" s="27">
        <v>24.1</v>
      </c>
      <c r="P17" s="27">
        <v>120.9</v>
      </c>
      <c r="Q17" s="27">
        <v>124</v>
      </c>
      <c r="R17" s="18"/>
      <c r="S17" s="53">
        <v>122.4</v>
      </c>
      <c r="T17" s="53">
        <v>816.3</v>
      </c>
      <c r="U17" s="18">
        <v>10.5</v>
      </c>
      <c r="V17" s="18">
        <v>1</v>
      </c>
      <c r="W17" s="335"/>
    </row>
    <row r="18" spans="1:23" ht="13.5">
      <c r="A18" s="310"/>
      <c r="B18" s="310"/>
      <c r="C18" s="319"/>
      <c r="D18" s="6" t="s">
        <v>209</v>
      </c>
      <c r="E18" s="25">
        <v>109.2</v>
      </c>
      <c r="F18" s="26">
        <v>176</v>
      </c>
      <c r="G18" s="27">
        <v>2.6</v>
      </c>
      <c r="H18" s="27">
        <v>17.5</v>
      </c>
      <c r="I18" s="27">
        <v>578.4</v>
      </c>
      <c r="J18" s="27">
        <v>13.9</v>
      </c>
      <c r="K18" s="27">
        <v>79.4</v>
      </c>
      <c r="L18" s="27">
        <v>331.7</v>
      </c>
      <c r="M18" s="27">
        <v>237.7</v>
      </c>
      <c r="N18" s="27">
        <v>71.7</v>
      </c>
      <c r="O18" s="27">
        <v>26.2</v>
      </c>
      <c r="P18" s="27">
        <v>203.2</v>
      </c>
      <c r="Q18" s="27">
        <v>216.6</v>
      </c>
      <c r="R18" s="18"/>
      <c r="S18" s="53">
        <v>209.9</v>
      </c>
      <c r="T18" s="53">
        <v>699.7</v>
      </c>
      <c r="U18" s="34">
        <v>-5.2</v>
      </c>
      <c r="V18" s="18">
        <v>2</v>
      </c>
      <c r="W18" s="335"/>
    </row>
    <row r="19" spans="1:23" ht="13.5">
      <c r="A19" s="310"/>
      <c r="B19" s="310"/>
      <c r="C19" s="319"/>
      <c r="D19" s="6" t="s">
        <v>220</v>
      </c>
      <c r="E19" s="25">
        <v>118.2</v>
      </c>
      <c r="F19" s="26">
        <v>165</v>
      </c>
      <c r="G19" s="27">
        <v>6.96</v>
      </c>
      <c r="H19" s="27">
        <v>31.23</v>
      </c>
      <c r="I19" s="27">
        <v>348.71</v>
      </c>
      <c r="J19" s="27">
        <v>16.8</v>
      </c>
      <c r="K19" s="27">
        <v>53.79</v>
      </c>
      <c r="L19" s="40">
        <v>232.94</v>
      </c>
      <c r="M19" s="40">
        <v>215.56</v>
      </c>
      <c r="N19" s="40">
        <v>92.54</v>
      </c>
      <c r="O19" s="40">
        <v>23.09</v>
      </c>
      <c r="P19" s="40">
        <v>97.22</v>
      </c>
      <c r="Q19" s="40">
        <v>96.96</v>
      </c>
      <c r="R19" s="44"/>
      <c r="S19" s="44">
        <v>97.09</v>
      </c>
      <c r="T19" s="9">
        <v>809.08</v>
      </c>
      <c r="U19" s="44">
        <v>5.19</v>
      </c>
      <c r="V19" s="44">
        <v>1</v>
      </c>
      <c r="W19" s="335"/>
    </row>
    <row r="20" spans="1:23" ht="13.5">
      <c r="A20" s="310"/>
      <c r="B20" s="310"/>
      <c r="C20" s="319"/>
      <c r="D20" s="6" t="s">
        <v>185</v>
      </c>
      <c r="E20" s="25">
        <v>113</v>
      </c>
      <c r="F20" s="26">
        <v>157</v>
      </c>
      <c r="G20" s="27">
        <v>2.3</v>
      </c>
      <c r="H20" s="27">
        <v>20.1</v>
      </c>
      <c r="I20" s="27">
        <v>773.9</v>
      </c>
      <c r="J20" s="27">
        <v>12.1</v>
      </c>
      <c r="K20" s="27">
        <v>60.2</v>
      </c>
      <c r="L20" s="27">
        <v>252.4</v>
      </c>
      <c r="M20" s="27">
        <v>236.8</v>
      </c>
      <c r="N20" s="27">
        <v>93.8</v>
      </c>
      <c r="O20" s="27">
        <v>25.4</v>
      </c>
      <c r="P20" s="27">
        <v>322.2</v>
      </c>
      <c r="Q20" s="27">
        <v>347.8</v>
      </c>
      <c r="R20" s="18"/>
      <c r="S20" s="53">
        <v>335</v>
      </c>
      <c r="T20" s="53">
        <v>670</v>
      </c>
      <c r="U20" s="18">
        <v>4.54</v>
      </c>
      <c r="V20" s="54">
        <v>1</v>
      </c>
      <c r="W20" s="335"/>
    </row>
    <row r="21" spans="1:23" ht="13.5">
      <c r="A21" s="310"/>
      <c r="B21" s="310"/>
      <c r="C21" s="319"/>
      <c r="D21" s="28" t="s">
        <v>206</v>
      </c>
      <c r="E21" s="25">
        <v>109.6</v>
      </c>
      <c r="F21" s="26">
        <v>168</v>
      </c>
      <c r="G21" s="27">
        <v>3.46</v>
      </c>
      <c r="H21" s="27">
        <v>20.6</v>
      </c>
      <c r="I21" s="27">
        <v>495.38</v>
      </c>
      <c r="J21" s="27">
        <v>13.72</v>
      </c>
      <c r="K21" s="27">
        <v>66.6</v>
      </c>
      <c r="L21" s="27">
        <v>240.31</v>
      </c>
      <c r="M21" s="27">
        <v>229.4</v>
      </c>
      <c r="N21" s="27">
        <v>95.47</v>
      </c>
      <c r="O21" s="27">
        <v>26.37</v>
      </c>
      <c r="P21" s="27">
        <v>202.3</v>
      </c>
      <c r="Q21" s="27">
        <v>196.91</v>
      </c>
      <c r="R21" s="18"/>
      <c r="S21" s="53">
        <v>199.61</v>
      </c>
      <c r="T21" s="53">
        <v>767.71</v>
      </c>
      <c r="U21" s="18">
        <v>9.81</v>
      </c>
      <c r="V21" s="18">
        <v>1</v>
      </c>
      <c r="W21" s="335"/>
    </row>
    <row r="22" spans="1:23" ht="13.5">
      <c r="A22" s="310"/>
      <c r="B22" s="310"/>
      <c r="C22" s="319"/>
      <c r="D22" s="29" t="s">
        <v>30</v>
      </c>
      <c r="E22" s="30">
        <f aca="true" t="shared" si="1" ref="E22:Q22">AVERAGE(E17:E21)</f>
        <v>113.04</v>
      </c>
      <c r="F22" s="31">
        <f t="shared" si="1"/>
        <v>167</v>
      </c>
      <c r="G22" s="32">
        <f t="shared" si="1"/>
        <v>4.104</v>
      </c>
      <c r="H22" s="32">
        <f t="shared" si="1"/>
        <v>21.606</v>
      </c>
      <c r="I22" s="32">
        <f t="shared" si="1"/>
        <v>510.818</v>
      </c>
      <c r="J22" s="32">
        <f t="shared" si="1"/>
        <v>14.424</v>
      </c>
      <c r="K22" s="32">
        <f t="shared" si="1"/>
        <v>68.778</v>
      </c>
      <c r="L22" s="32">
        <f t="shared" si="1"/>
        <v>259.65</v>
      </c>
      <c r="M22" s="32">
        <f t="shared" si="1"/>
        <v>227.112</v>
      </c>
      <c r="N22" s="32">
        <f t="shared" si="1"/>
        <v>88.642</v>
      </c>
      <c r="O22" s="32">
        <f t="shared" si="1"/>
        <v>25.032</v>
      </c>
      <c r="P22" s="32">
        <f t="shared" si="1"/>
        <v>189.164</v>
      </c>
      <c r="Q22" s="32">
        <f t="shared" si="1"/>
        <v>196.454</v>
      </c>
      <c r="R22" s="55"/>
      <c r="S22" s="56">
        <f>AVERAGE(S17:S21)</f>
        <v>192.8</v>
      </c>
      <c r="T22" s="56">
        <f>AVERAGE(T17:T21)</f>
        <v>752.558</v>
      </c>
      <c r="U22" s="57">
        <v>4.94</v>
      </c>
      <c r="V22" s="52">
        <v>1</v>
      </c>
      <c r="W22" s="335"/>
    </row>
  </sheetData>
  <sheetProtection/>
  <mergeCells count="13">
    <mergeCell ref="W1:W2"/>
    <mergeCell ref="W3:W22"/>
    <mergeCell ref="P1:S1"/>
    <mergeCell ref="A1:A2"/>
    <mergeCell ref="A3:A9"/>
    <mergeCell ref="A10:A16"/>
    <mergeCell ref="A17:A22"/>
    <mergeCell ref="B1:B2"/>
    <mergeCell ref="B3:B22"/>
    <mergeCell ref="C3:C9"/>
    <mergeCell ref="C10:C16"/>
    <mergeCell ref="C17:C22"/>
    <mergeCell ref="D1:D2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许明</dc:creator>
  <cp:keywords/>
  <dc:description/>
  <cp:lastModifiedBy>Administrator</cp:lastModifiedBy>
  <dcterms:created xsi:type="dcterms:W3CDTF">2016-02-23T09:01:00Z</dcterms:created>
  <dcterms:modified xsi:type="dcterms:W3CDTF">2016-03-01T09:01:15Z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